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16a3081fdf5ed93/Bureaublad/WebWork/Web Projects/ExcelFactory/Artikelen ExcelBlog/PowerQuery/"/>
    </mc:Choice>
  </mc:AlternateContent>
  <xr:revisionPtr revIDLastSave="14" documentId="8_{DD2C0F68-171F-4B3F-BAFC-241A0067453B}" xr6:coauthVersionLast="47" xr6:coauthVersionMax="47" xr10:uidLastSave="{368D6B12-A05B-4721-A863-D4814A862250}"/>
  <bookViews>
    <workbookView xWindow="-110" yWindow="-110" windowWidth="25820" windowHeight="15620" tabRatio="963" xr2:uid="{00000000-000D-0000-FFFF-FFFF00000000}"/>
  </bookViews>
  <sheets>
    <sheet name="Oefening Tabel" sheetId="30" r:id="rId1"/>
    <sheet name="AEX" sheetId="4" r:id="rId2"/>
  </sheets>
  <definedNames>
    <definedName name="Prices">#REF!</definedName>
    <definedName name="PricesASCX">#REF!</definedName>
    <definedName name="PricesEMX">#REF!</definedName>
    <definedName name="Rates">#REF!</definedName>
    <definedName name="transl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30" l="1"/>
  <c r="M3" i="30"/>
  <c r="M4" i="30"/>
  <c r="M5" i="30"/>
  <c r="M6" i="30"/>
  <c r="M7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M24" i="30"/>
  <c r="M25" i="30"/>
  <c r="M26" i="30"/>
  <c r="M27" i="30"/>
  <c r="M28" i="30"/>
  <c r="L29" i="30"/>
  <c r="I199" i="4" l="1"/>
  <c r="J167" i="4"/>
  <c r="I167" i="4"/>
  <c r="G167" i="4"/>
  <c r="H167" i="4"/>
  <c r="J151" i="4"/>
  <c r="I151" i="4"/>
  <c r="H151" i="4"/>
  <c r="G151" i="4"/>
  <c r="H111" i="4" l="1"/>
  <c r="H110" i="4"/>
  <c r="H109" i="4"/>
  <c r="H47" i="4" l="1"/>
  <c r="J47" i="4"/>
  <c r="J46" i="4"/>
  <c r="I46" i="4"/>
  <c r="I47" i="4"/>
  <c r="L126" i="4" l="1"/>
  <c r="L102" i="4"/>
  <c r="D80" i="4" l="1"/>
  <c r="D81" i="4" s="1"/>
  <c r="G111" i="4" l="1"/>
  <c r="D200" i="4" l="1"/>
  <c r="D201" i="4" s="1"/>
  <c r="B200" i="4"/>
  <c r="B201" i="4" s="1"/>
  <c r="A200" i="4"/>
  <c r="A201" i="4" s="1"/>
  <c r="D192" i="4"/>
  <c r="D193" i="4" s="1"/>
  <c r="B192" i="4"/>
  <c r="B193" i="4" s="1"/>
  <c r="A192" i="4"/>
  <c r="A193" i="4" s="1"/>
  <c r="D184" i="4"/>
  <c r="D185" i="4" s="1"/>
  <c r="B184" i="4"/>
  <c r="B185" i="4" s="1"/>
  <c r="A184" i="4"/>
  <c r="A185" i="4" s="1"/>
  <c r="D176" i="4"/>
  <c r="D177" i="4" s="1"/>
  <c r="B176" i="4"/>
  <c r="B177" i="4" s="1"/>
  <c r="A176" i="4"/>
  <c r="A177" i="4" s="1"/>
  <c r="D168" i="4"/>
  <c r="D169" i="4" s="1"/>
  <c r="B168" i="4"/>
  <c r="B169" i="4" s="1"/>
  <c r="A168" i="4"/>
  <c r="A169" i="4" s="1"/>
  <c r="D160" i="4"/>
  <c r="D161" i="4" s="1"/>
  <c r="B160" i="4"/>
  <c r="B161" i="4" s="1"/>
  <c r="A160" i="4"/>
  <c r="A161" i="4" s="1"/>
  <c r="D152" i="4"/>
  <c r="D153" i="4" s="1"/>
  <c r="B152" i="4"/>
  <c r="B153" i="4" s="1"/>
  <c r="A152" i="4"/>
  <c r="A153" i="4" s="1"/>
  <c r="D144" i="4"/>
  <c r="D145" i="4" s="1"/>
  <c r="B144" i="4"/>
  <c r="B145" i="4" s="1"/>
  <c r="A144" i="4"/>
  <c r="A145" i="4" s="1"/>
  <c r="D136" i="4"/>
  <c r="D137" i="4" s="1"/>
  <c r="B136" i="4"/>
  <c r="B137" i="4" s="1"/>
  <c r="A136" i="4"/>
  <c r="A137" i="4" s="1"/>
  <c r="D128" i="4"/>
  <c r="D129" i="4" s="1"/>
  <c r="B128" i="4"/>
  <c r="B129" i="4" s="1"/>
  <c r="A128" i="4"/>
  <c r="A129" i="4" s="1"/>
  <c r="D120" i="4"/>
  <c r="D121" i="4" s="1"/>
  <c r="B120" i="4"/>
  <c r="B121" i="4" s="1"/>
  <c r="A120" i="4"/>
  <c r="A121" i="4" s="1"/>
  <c r="D112" i="4"/>
  <c r="D113" i="4" s="1"/>
  <c r="B112" i="4"/>
  <c r="B113" i="4" s="1"/>
  <c r="A112" i="4"/>
  <c r="A113" i="4" s="1"/>
  <c r="D104" i="4"/>
  <c r="D105" i="4" s="1"/>
  <c r="B104" i="4"/>
  <c r="B105" i="4" s="1"/>
  <c r="A104" i="4"/>
  <c r="A105" i="4" s="1"/>
  <c r="D96" i="4"/>
  <c r="D97" i="4" s="1"/>
  <c r="B96" i="4"/>
  <c r="B97" i="4" s="1"/>
  <c r="A96" i="4"/>
  <c r="A97" i="4" s="1"/>
  <c r="D88" i="4"/>
  <c r="D89" i="4" s="1"/>
  <c r="B88" i="4"/>
  <c r="B89" i="4" s="1"/>
  <c r="D72" i="4"/>
  <c r="D73" i="4" s="1"/>
  <c r="B72" i="4"/>
  <c r="B73" i="4" s="1"/>
  <c r="D64" i="4"/>
  <c r="D65" i="4" s="1"/>
  <c r="B64" i="4"/>
  <c r="B65" i="4" s="1"/>
  <c r="A64" i="4"/>
  <c r="A65" i="4" s="1"/>
  <c r="D56" i="4"/>
  <c r="D57" i="4" s="1"/>
  <c r="B56" i="4"/>
  <c r="B57" i="4" s="1"/>
  <c r="A56" i="4"/>
  <c r="A57" i="4" s="1"/>
  <c r="D48" i="4"/>
  <c r="D49" i="4" s="1"/>
  <c r="B48" i="4"/>
  <c r="B49" i="4" s="1"/>
  <c r="A48" i="4"/>
  <c r="A49" i="4" s="1"/>
  <c r="D40" i="4"/>
  <c r="D41" i="4" s="1"/>
  <c r="B40" i="4"/>
  <c r="B41" i="4" s="1"/>
  <c r="A40" i="4"/>
  <c r="A41" i="4" s="1"/>
  <c r="D32" i="4"/>
  <c r="D33" i="4" s="1"/>
  <c r="B32" i="4"/>
  <c r="B33" i="4" s="1"/>
  <c r="A32" i="4"/>
  <c r="A33" i="4" s="1"/>
  <c r="D24" i="4"/>
  <c r="D25" i="4" s="1"/>
  <c r="B24" i="4"/>
  <c r="B25" i="4" s="1"/>
  <c r="A24" i="4"/>
  <c r="A25" i="4" s="1"/>
  <c r="D16" i="4"/>
  <c r="D17" i="4" s="1"/>
  <c r="B16" i="4"/>
  <c r="B17" i="4" s="1"/>
  <c r="A16" i="4"/>
  <c r="A17" i="4" s="1"/>
  <c r="D8" i="4"/>
  <c r="D9" i="4" s="1"/>
  <c r="B8" i="4"/>
  <c r="B9" i="4" s="1"/>
  <c r="A8" i="4"/>
  <c r="A9" i="4" s="1"/>
  <c r="J106" i="4" l="1"/>
  <c r="J107" i="4"/>
  <c r="J36" i="4"/>
  <c r="J37" i="4"/>
  <c r="J38" i="4"/>
  <c r="I38" i="4"/>
  <c r="I37" i="4"/>
  <c r="I36" i="4"/>
  <c r="H101" i="4" l="1"/>
  <c r="H100" i="4"/>
  <c r="H99" i="4"/>
  <c r="H98" i="4"/>
  <c r="J162" i="4"/>
  <c r="I162" i="4"/>
  <c r="H162" i="4"/>
  <c r="G162" i="4"/>
  <c r="J164" i="4"/>
  <c r="J163" i="4"/>
  <c r="I164" i="4"/>
  <c r="I163" i="4"/>
  <c r="H164" i="4"/>
  <c r="H163" i="4"/>
  <c r="G164" i="4"/>
  <c r="G163" i="4"/>
  <c r="J166" i="4"/>
  <c r="J165" i="4"/>
  <c r="I166" i="4"/>
  <c r="I165" i="4"/>
  <c r="H165" i="4"/>
  <c r="H166" i="4"/>
  <c r="G166" i="4"/>
  <c r="G165" i="4"/>
  <c r="H146" i="4"/>
  <c r="H147" i="4"/>
  <c r="H150" i="4"/>
  <c r="H149" i="4"/>
  <c r="G150" i="4"/>
  <c r="G149" i="4"/>
  <c r="H123" i="4"/>
  <c r="H122" i="4"/>
  <c r="H126" i="4"/>
  <c r="H125" i="4"/>
  <c r="H124" i="4"/>
  <c r="J94" i="4" l="1"/>
  <c r="J93" i="4"/>
  <c r="J92" i="4"/>
  <c r="J91" i="4"/>
  <c r="J90" i="4"/>
  <c r="H58" i="4"/>
  <c r="L58" i="4" s="1"/>
  <c r="I188" i="4" l="1"/>
  <c r="I187" i="4"/>
  <c r="I186" i="4"/>
  <c r="H46" i="4"/>
  <c r="J45" i="4"/>
  <c r="J44" i="4"/>
  <c r="I44" i="4"/>
  <c r="I45" i="4"/>
  <c r="H45" i="4"/>
  <c r="H44" i="4"/>
  <c r="J43" i="4"/>
  <c r="J42" i="4"/>
  <c r="I43" i="4"/>
  <c r="I42" i="4"/>
  <c r="H43" i="4"/>
  <c r="H42" i="4"/>
  <c r="H20" i="4"/>
  <c r="H4" i="4"/>
  <c r="H3" i="4"/>
  <c r="H2" i="4"/>
  <c r="H3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Edwin.Pijpe</author>
  </authors>
  <commentList>
    <comment ref="F3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Edwin.Pijpe:</t>
        </r>
        <r>
          <rPr>
            <sz val="9"/>
            <color indexed="81"/>
            <rFont val="Tahoma"/>
            <family val="2"/>
          </rPr>
          <t xml:space="preserve">
Te hoge emissiekoers???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0" background="1">
    <webPr sourceData="1" parsePre="1" consecutive="1" url="http://veb.net/content/HoofdMenu/Beurs/Beursfondsenoverzicht.aspx"/>
  </connection>
  <connection id="2" xr16:uid="{2D4C6B49-450D-40A7-8198-BCF2C3591AE5}" keepAlive="1" name="Query - Tabel1" description="Verbinding maken met de query Tabel1 in de werkmap." type="5" refreshedVersion="7" background="1" saveData="1">
    <dbPr connection="Provider=Microsoft.Mashup.OleDb.1;Data Source=$Workbook$;Location=Tabel1;Extended Properties=&quot;&quot;" command="SELECT * FROM [Tabel1]"/>
  </connection>
</connections>
</file>

<file path=xl/sharedStrings.xml><?xml version="1.0" encoding="utf-8"?>
<sst xmlns="http://schemas.openxmlformats.org/spreadsheetml/2006/main" count="641" uniqueCount="80">
  <si>
    <t>Aandelen</t>
  </si>
  <si>
    <t>Omzet</t>
  </si>
  <si>
    <t>EBITDA</t>
  </si>
  <si>
    <t>Fonds</t>
  </si>
  <si>
    <t>Jaar</t>
  </si>
  <si>
    <t>Beurs</t>
  </si>
  <si>
    <t>AEX</t>
  </si>
  <si>
    <t>Aegon</t>
  </si>
  <si>
    <t>Ahold</t>
  </si>
  <si>
    <t>Aperam</t>
  </si>
  <si>
    <t>Boskalis</t>
  </si>
  <si>
    <t>Corio</t>
  </si>
  <si>
    <t>DSM</t>
  </si>
  <si>
    <t>Fugro</t>
  </si>
  <si>
    <t>Heineken</t>
  </si>
  <si>
    <t>KPN</t>
  </si>
  <si>
    <t>Randstad</t>
  </si>
  <si>
    <t>Reed Elsevier</t>
  </si>
  <si>
    <t>Wolters Kluwer</t>
  </si>
  <si>
    <t>Total assets</t>
  </si>
  <si>
    <t>LT Debt</t>
  </si>
  <si>
    <t>Ultimo koers</t>
  </si>
  <si>
    <t>Sector</t>
  </si>
  <si>
    <t>IT Hardware</t>
  </si>
  <si>
    <t>Media</t>
  </si>
  <si>
    <t>Air France - KLM</t>
  </si>
  <si>
    <t>Akzo Nobel</t>
  </si>
  <si>
    <t>ArcelorMittal</t>
  </si>
  <si>
    <t>ASML</t>
  </si>
  <si>
    <t>Philips</t>
  </si>
  <si>
    <t>PostNL</t>
  </si>
  <si>
    <t>Royal Dutch Shell -A-</t>
  </si>
  <si>
    <t>SBM Offshore</t>
  </si>
  <si>
    <t>TNT Express</t>
  </si>
  <si>
    <t>ING cert.</t>
  </si>
  <si>
    <t>Unilever cert.</t>
  </si>
  <si>
    <t>UniBail-Rodamco</t>
  </si>
  <si>
    <t>DE Master Blenders 1753</t>
  </si>
  <si>
    <t>Finance expenses</t>
  </si>
  <si>
    <t>Dividends / share</t>
  </si>
  <si>
    <t>Life insurance</t>
  </si>
  <si>
    <t>Retail food and medicins</t>
  </si>
  <si>
    <t>Reacreation and travel</t>
  </si>
  <si>
    <t>Chemicals</t>
  </si>
  <si>
    <t>Steel products</t>
  </si>
  <si>
    <t>Construction materials</t>
  </si>
  <si>
    <t>Real Estate investments and services</t>
  </si>
  <si>
    <t>Oil equipment and services</t>
  </si>
  <si>
    <t>Drinks and beverages</t>
  </si>
  <si>
    <t>Telecommunication</t>
  </si>
  <si>
    <t>Leisure products</t>
  </si>
  <si>
    <t>Industriall logistics</t>
  </si>
  <si>
    <t>Supporting services</t>
  </si>
  <si>
    <t>Oil and gas producers</t>
  </si>
  <si>
    <t>Food manufacturers</t>
  </si>
  <si>
    <t>€ 0,10</t>
  </si>
  <si>
    <t>€ 0,40</t>
  </si>
  <si>
    <t>€ 0,00</t>
  </si>
  <si>
    <t>€ 1,54</t>
  </si>
  <si>
    <t>€ 0,75</t>
  </si>
  <si>
    <t>€ 0,46</t>
  </si>
  <si>
    <t>€ 1,24</t>
  </si>
  <si>
    <t>€ 2,76</t>
  </si>
  <si>
    <t>€ 1,45</t>
  </si>
  <si>
    <t>€ 1,50</t>
  </si>
  <si>
    <t>€ 0,83</t>
  </si>
  <si>
    <t>€ 0,85</t>
  </si>
  <si>
    <t>€ 0,41</t>
  </si>
  <si>
    <t>€ 1,25</t>
  </si>
  <si>
    <t>€ 0,44</t>
  </si>
  <si>
    <t>€ 0,94</t>
  </si>
  <si>
    <t>€ 0,04</t>
  </si>
  <si>
    <t>€ 8,00</t>
  </si>
  <si>
    <t>€ 0,90</t>
  </si>
  <si>
    <t>€ 0,68</t>
  </si>
  <si>
    <t>Onderneming (2011)</t>
  </si>
  <si>
    <t>Dividend</t>
  </si>
  <si>
    <t>Totaal</t>
  </si>
  <si>
    <t>EBITDA / Omzet</t>
  </si>
  <si>
    <t>=[@EBITDA]/[@Omzet]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</si>
</sst>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 &quot;€&quot;\ * #,##0.00_ ;_ &quot;€&quot;\ * \-#,##0.00_ ;_ &quot;€&quot;\ * &quot;-&quot;??_ ;_ @_ "/>
    <numFmt numFmtId="164" formatCode="_-* #,##0.00_-;\-* #,##0.00_-;_-* &quot;-&quot;??_-;_-@_-"/>
    <numFmt numFmtId="166" formatCode="&quot;€&quot;\ #,##0.00"/>
    <numFmt numFmtId="167" formatCode="&quot;€&quot;\ 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6" fontId="5" fillId="0" borderId="0" xfId="1" applyNumberFormat="1" applyFont="1" applyFill="1" applyAlignment="1">
      <alignment horizontal="center" vertical="top" wrapText="1"/>
    </xf>
    <xf numFmtId="166" fontId="2" fillId="0" borderId="0" xfId="1" applyNumberFormat="1" applyFont="1" applyFill="1" applyBorder="1" applyAlignment="1">
      <alignment horizontal="right"/>
    </xf>
    <xf numFmtId="166" fontId="2" fillId="0" borderId="0" xfId="1" applyNumberFormat="1" applyFont="1" applyFill="1" applyBorder="1"/>
    <xf numFmtId="166" fontId="2" fillId="0" borderId="0" xfId="1" applyNumberFormat="1" applyFont="1"/>
    <xf numFmtId="167" fontId="5" fillId="0" borderId="0" xfId="1" applyNumberFormat="1" applyFont="1" applyFill="1" applyBorder="1" applyAlignment="1">
      <alignment horizontal="center" vertical="top" wrapText="1"/>
    </xf>
    <xf numFmtId="167" fontId="5" fillId="0" borderId="0" xfId="1" applyNumberFormat="1" applyFont="1" applyFill="1" applyAlignment="1">
      <alignment horizontal="center" vertical="top" wrapText="1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Fill="1" applyBorder="1" applyAlignment="1">
      <alignment horizontal="right"/>
    </xf>
    <xf numFmtId="167" fontId="2" fillId="0" borderId="0" xfId="1" applyNumberFormat="1" applyFont="1" applyFill="1"/>
    <xf numFmtId="167" fontId="2" fillId="0" borderId="0" xfId="1" applyNumberFormat="1" applyFont="1" applyFill="1" applyBorder="1"/>
    <xf numFmtId="167" fontId="2" fillId="0" borderId="0" xfId="2" applyNumberFormat="1" applyFont="1" applyFill="1" applyBorder="1"/>
    <xf numFmtId="167" fontId="2" fillId="0" borderId="0" xfId="1" applyNumberFormat="1" applyFont="1" applyBorder="1"/>
    <xf numFmtId="167" fontId="2" fillId="0" borderId="0" xfId="1" applyNumberFormat="1" applyFont="1"/>
    <xf numFmtId="166" fontId="6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7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/>
    <xf numFmtId="44" fontId="0" fillId="0" borderId="0" xfId="1" applyNumberFormat="1" applyFont="1" applyAlignment="1">
      <alignment horizontal="center"/>
    </xf>
    <xf numFmtId="44" fontId="0" fillId="0" borderId="0" xfId="1" applyNumberFormat="1" applyFont="1"/>
  </cellXfs>
  <cellStyles count="3">
    <cellStyle name="Komma" xfId="1" builtinId="3"/>
    <cellStyle name="Procent" xfId="2" builtinId="5"/>
    <cellStyle name="Standaard" xfId="0" builtinId="0"/>
  </cellStyles>
  <dxfs count="23">
    <dxf>
      <alignment horizontal="right" vertical="bottom" textRotation="0" wrapText="0" indent="0" justifyLastLine="0" shrinkToFit="0" readingOrder="0"/>
    </dxf>
    <dxf>
      <numFmt numFmtId="167" formatCode="&quot;€&quot;\ 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0" formatCode="General"/>
    </dxf>
    <dxf>
      <alignment horizontal="center" vertical="bottom" textRotation="0" wrapText="0" indent="0" justifyLastLine="0" shrinkToFit="0" readingOrder="0"/>
    </dxf>
    <dxf>
      <numFmt numFmtId="167" formatCode="&quot;€&quot;\ #,##0"/>
      <alignment horizontal="right" vertical="bottom" textRotation="0" wrapText="0" indent="0" justifyLastLine="0" shrinkToFit="0" readingOrder="0"/>
    </dxf>
    <dxf>
      <numFmt numFmtId="167" formatCode="&quot;€&quot;\ #,##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&quot;€&quot;\ 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&quot;€&quot;\ 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&quot;€&quot;\ 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&quot;€&quot;\ 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&quot;€&quot;\ 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&quot;€&quot;\ 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&quot;€&quot;\ 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&quot;€&quot;\ 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#,##0_ ;[Red]\-#,##0\ 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5" formatCode="#,##0_ ;[Red]\-#,##0\ 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F7766A85-842C-4252-9D29-04D57E04EBE3}"/>
  </tableStyles>
  <colors>
    <mruColors>
      <color rgb="FF37CBFF"/>
      <color rgb="FFCCFFFF"/>
      <color rgb="FF66FF66"/>
      <color rgb="FF0000FF"/>
      <color rgb="FFFFFF99"/>
      <color rgb="FF00FF99"/>
      <color rgb="FFFF3300"/>
      <color rgb="FF00CC00"/>
      <color rgb="FF0080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www.w3.org/1999/xhtml'">
  <Schema ID="Schema1" Namespace="http://www.w3.org/1999/xhtml">
    <xsd:schema xmlns:xsd="http://www.w3.org/2001/XMLSchema" xmlns:ns0="http://www.w3.org/1999/xhtml" xmlns="" targetNamespace="http://www.w3.org/1999/xhtml">
      <xsd:element nillable="true" name="html">
        <xsd:complexType>
          <xsd:sequence minOccurs="0">
            <xsd:element minOccurs="0" nillable="true" name="head" form="qualified">
              <xsd:complexType>
                <xsd:sequence minOccurs="0">
                  <xsd:element minOccurs="0" maxOccurs="unbounded" nillable="true" name="meta" form="qualified">
                    <xsd:complexType>
                      <xsd:attribute name="http-equiv" form="unqualified" type="xsd:string"/>
                      <xsd:attribute name="content" form="unqualified" type="xsd:string"/>
                      <xsd:attribute name="name" form="unqualified" type="xsd:string"/>
                    </xsd:complexType>
                  </xsd:element>
                  <xsd:element minOccurs="0" maxOccurs="unbounded" nillable="true" name="link" form="qualified">
                    <xsd:complexType>
                      <xsd:attribute name="href" form="unqualified" type="xsd:string"/>
                      <xsd:attribute name="rel" form="unqualified" type="xsd:string"/>
                      <xsd:attribute name="type" form="unqualified" type="xsd:string"/>
                      <xsd:attribute name="media" form="unqualified" type="xsd:string"/>
                    </xsd:complexType>
                  </xsd:element>
                  <xsd:element minOccurs="0" nillable="true" type="xsd:string" name="title" form="qualified"/>
                  <xsd:element minOccurs="0" nillable="true" name="script" form="qualified">
                    <xsd:complexType>
                      <xsd:simpleContent>
                        <xsd:extension base="xsd:string">
                          <xsd:attribute name="language" form="unqualified" type="xsd:string"/>
                          <xsd:attribute name="type" form="unqualified" type="xsd:string"/>
                        </xsd:extension>
                      </xsd:simpleContent>
                    </xsd:complexType>
                  </xsd:element>
                </xsd:sequence>
                <xsd:attribute name="id" form="unqualified" type="xsd:string"/>
              </xsd:complexType>
            </xsd:element>
            <xsd:element minOccurs="0" nillable="true" name="body" form="qualified">
              <xsd:complexType>
                <xsd:sequence minOccurs="0">
                  <xsd:element minOccurs="0" nillable="true" name="form" form="qualified">
                    <xsd:complexType>
                      <xsd:sequence minOccurs="0" maxOccurs="unbounded">
                        <xsd:element minOccurs="0" maxOccurs="unbounded" nillable="true" name="div" form="qualified">
                          <xsd:complexType>
                            <xsd:sequence minOccurs="0" maxOccurs="unbounded">
                              <xsd:element minOccurs="0" maxOccurs="unbounded" nillable="true" name="input" form="qualified">
                                <xsd:complexType>
                                  <xsd:attribute name="type" form="unqualified" type="xsd:string"/>
                                  <xsd:attribute name="name" form="unqualified" type="xsd:string"/>
                                  <xsd:attribute name="id" form="unqualified" type="xsd:string"/>
                                  <xsd:attribute name="value" form="unqualified" type="xsd:string"/>
                                </xsd:complexType>
                              </xsd:element>
                              <xsd:element minOccurs="0" nillable="true" name="h1" form="qualified">
                                <xsd:complexType>
                                  <xsd:sequence minOccurs="0">
                                    <xsd:element minOccurs="0" nillable="true" name="a" form="qualified">
                                      <xsd:complexType>
                                        <xsd:sequence minOccurs="0">
                                          <xsd:element minOccurs="0" nillable="true" type="xsd:string" name="span" form="qualified"/>
                                        </xsd:sequence>
                                        <xsd:attribute name="id" form="unqualified" type="xsd:string"/>
                                        <xsd:attribute name="href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img" form="qualified">
                                <xsd:complexType>
                                  <xsd:attribute name="id" form="unqualified" type="xsd:string"/>
                                  <xsd:attribute name="class" form="unqualified" type="xsd:string"/>
                                  <xsd:attribute name="alt" form="unqualified" type="xsd:string"/>
                                  <xsd:attribute name="src" form="unqualified" type="xsd:string"/>
                                  <xsd:attribute name="style" form="unqualified" type="xsd:string"/>
                                </xsd:complexType>
                              </xsd:element>
                              <xsd:element minOccurs="0" maxOccurs="unbounded" nillable="true" name="div" form="qualified">
                                <xsd:complexType>
                                  <xsd:sequence minOccurs="0" maxOccurs="unbounded">
                                    <xsd:element minOccurs="0" maxOccurs="unbounded" nillable="true" name="p" form="qualified">
                                      <xsd:complexType>
                                        <xsd:all>
                                          <xsd:element minOccurs="0" nillable="true" name="label" form="qualified">
                                            <xsd:complexType>
                                              <xsd:attribute name="for" form="unqualified" type="xsd:string"/>
                                            </xsd:complexType>
                                          </xsd:element>
                                          <xsd:element minOccurs="0" nillable="true" name="input" form="qualified">
                                            <xsd:complexType>
                                              <xsd:attribute name="type" form="unqualified" type="xsd:string"/>
                                              <xsd:attribute name="class" form="unqualified" type="xsd:string"/>
                                              <xsd:attribute name="name" form="unqualified" type="xsd:string"/>
                                              <xsd:attribute name="id" form="unqualified" type="xsd:string"/>
                                              <xsd:attribute name="value" form="unqualified" type="xsd:string"/>
                                              <xsd:attribute name="onclick" form="unqualified" type="xsd:string"/>
                                              <xsd:attribute name="onkeydown" form="unqualified" type="xsd:string"/>
                                              <xsd:attribute name="onblur" form="unqualified" type="xsd:string"/>
                                            </xsd:complexType>
                                          </xsd:element>
                                          <xsd:element minOccurs="0" nillable="true" name="a" form="qualified">
                                            <xsd:complexType>
                                              <xsd:sequence minOccurs="0">
                                                <xsd:element minOccurs="0" nillable="true" name="img" form="qualified">
                                                  <xsd:complexType>
                                                    <xsd:attribute name="id" form="unqualified" type="xsd:string"/>
                                                    <xsd:attribute name="src" form="unqualified" type="xsd:string"/>
                                                    <xsd:attribute name="alt" form="unqualified" type="xsd:string"/>
                                                    <xsd:attribute name="style" form="unqualified" type="xsd:string"/>
                                                  </xsd:complexType>
                                                </xsd:element>
                                              </xsd:sequence>
                                              <xsd:attribute name="href" form="unqualified" type="xsd:string"/>
                                              <xsd:attribute name="onclick" form="unqualified" type="xsd:string"/>
                                              <xsd:attribute name="class" form="unqualified" type="xsd:string"/>
                                            </xsd:complexType>
                                          </xsd:element>
                                        </xsd:all>
                                      </xsd:complexType>
                                    </xsd:element>
                                    <xsd:element minOccurs="0" maxOccurs="unbounded" nillable="true" name="div" form="qualified">
                                      <xsd:complexType>
                                        <xsd:sequence minOccurs="0" maxOccurs="unbounded">
                                          <xsd:element minOccurs="0" nillable="true" name="p" form="qualified">
                                            <xsd:complexType>
                                              <xsd:simpleContent>
                                                <xsd:extension base="xsd:string">
                                                  <xsd:attribute name="class" form="unqualified" type="xsd:string"/>
                                                </xsd:extension>
                                              </xsd:simpleContent>
                                            </xsd:complexType>
                                          </xsd:element>
                                          <xsd:element minOccurs="0" nillable="true" name="h1" form="qualified">
                                            <xsd:complexType>
                                              <xsd:simpleContent>
                                                <xsd:extension base="xsd:string">
                                                  <xsd:attribute name="id" form="unqualified" type="xsd:string"/>
                                                </xsd:extension>
                                              </xsd:simpleContent>
                                            </xsd:complexType>
                                          </xsd:element>
                                          <xsd:element minOccurs="0" nillable="true" name="iframe" form="qualified">
                                            <xsd:complexType>
                                              <xsd:attribute name="id" form="unqualified" type="xsd:string"/>
                                              <xsd:attribute name="src" form="unqualified" type="xsd:string"/>
                                              <xsd:attribute name="frameborder" form="unqualified" type="xsd:integer"/>
                                              <xsd:attribute name="style" form="unqualified" type="xsd:string"/>
                                              <xsd:attribute name="scrolling" form="unqualified" type="xsd:string"/>
                                            </xsd:complexType>
                                          </xsd:element>
                                          <xsd:element minOccurs="0" maxOccurs="unbounded" nillable="true" name="div" form="qualified">
                                            <xsd:complexType>
                                              <xsd:all>
                                                <xsd:element minOccurs="0" nillable="true" type="xsd:string" name="h4" form="qualified"/>
                                                <xsd:element minOccurs="0" nillable="true" name="ul" form="qualified">
                                                  <xsd:complexType>
                                                    <xsd:sequence minOccurs="0">
                                                      <xsd:element minOccurs="0" maxOccurs="unbounded" nillable="true" name="li" form="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a" form="qualified">
                                                              <xsd:complexType>
                                                                <xsd:simpleContent>
                                                                  <xsd:extension base="xsd:string">
                                                                    <xsd:attribute name="href" form="unqualified" type="xsd:anyURI"/>
                                                                    <xsd:attribute name="class" form="unqualified" type="xsd:string"/>
                                                                    <xsd:attribute name="title" form="unqualified" type="xsd:string"/>
                                                                  </xsd:extension>
                                                                </xsd:simpleContent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  <xsd:element minOccurs="0" nillable="true" name="img" form="qualified">
                                                  <xsd:complexType>
                                                    <xsd:attribute name="width" form="unqualified" type="xsd:integer"/>
                                                    <xsd:attribute name="height" form="unqualified" type="xsd:integer"/>
                                                    <xsd:attribute name="alt" form="unqualified" type="xsd:string"/>
                                                    <xsd:attribute name="src" form="unqualified" type="xsd:string"/>
                                                    <xsd:attribute name="style" form="unqualified" type="xsd:string"/>
                                                  </xsd:complexType>
                                                </xsd:element>
                                                <xsd:element minOccurs="0" nillable="true" name="div" form="qualified">
                                                  <xsd:complexType>
                                                    <xsd:sequence minOccurs="0" maxOccurs="unbounded">
                                                      <xsd:element minOccurs="0" maxOccurs="unbounded" nillable="true" type="xsd:string" name="br" form="qualified"/>
                                                      <xsd:element minOccurs="0" nillable="true" name="a" form="qualified">
                                                        <xsd:complexType>
                                                          <xsd:simpleContent>
                                                            <xsd:extension base="xsd:string">
                                                              <xsd:attribute name="target" form="unqualified" type="xsd:string"/>
                                                              <xsd:attribute name="href" form="unqualified" type="xsd:anyURI"/>
                                                            </xsd:extension>
                                                          </xsd:simpleContent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style" form="unqualified" type="xsd:string"/>
                                                  </xsd:complexType>
                                                </xsd:element>
                                                <xsd:element minOccurs="0" nillable="true" name="iframe" form="qualified">
                                                  <xsd:complexType>
                                                    <xsd:attribute name="id" form="unqualified" type="xsd:string"/>
                                                    <xsd:attribute name="style" form="unqualified" type="xsd:string"/>
                                                    <xsd:attribute name="frameborder" form="unqualified" type="xsd:integer"/>
                                                    <xsd:attribute name="scrolling" form="unqualified" type="xsd:string"/>
                                                  </xsd:complexType>
                                                </xsd:element>
                                                <xsd:element minOccurs="0" nillable="true" name="script" form="qualified">
                                                  <xsd:complexType>
                                                    <xsd:simpleContent>
                                                      <xsd:extension base="xsd:string">
                                                        <xsd:attribute name="type" form="unqualified" type="xsd:string"/>
                                                      </xsd:extension>
                                                    </xsd:simpleContent>
                                                  </xsd:complexType>
                                                </xsd:element>
                                              </xsd:all>
                                              <xsd:attribute name="class" form="unqualified" type="xsd:string"/>
                                              <xsd:attribute name="id" form="unqualified" type="xsd:string"/>
                                            </xsd:complexType>
                                          </xsd:element>
                                        </xsd:sequence>
                                        <xsd:attribute name="id" form="unqualified" type="xsd:string"/>
                                      </xsd:complexType>
                                    </xsd:element>
                                    <xsd:element minOccurs="0" maxOccurs="unbounded" nillable="true" name="ul" form="qualified">
                                      <xsd:complexType>
                                        <xsd:sequence minOccurs="0">
                                          <xsd:element minOccurs="0" maxOccurs="unbounded" nillable="true" name="li" form="qualified">
                                            <xsd:complexType>
                                              <xsd:sequence minOccurs="0">
                                                <xsd:element minOccurs="0" nillable="true" name="a" form="qualified">
                                                  <xsd:complexType>
                                                    <xsd:simpleContent>
                                                      <xsd:extension base="xsd:string">
                                                        <xsd:attribute name="href" form="unqualified" type="xsd:string"/>
                                                      </xsd:extension>
                                                    </xsd:simpleContent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id" form="unqualified" type="xsd:string"/>
                                  <xsd:attribute name="class" form="unqualified" type="xsd:string"/>
                                  <xsd:attribute name="style" form="unqualified" type="xsd:string"/>
                                </xsd:complexType>
                              </xsd:element>
                              <xsd:element minOccurs="0" maxOccurs="unbounded" nillable="true" name="ul" form="qualified">
                                <xsd:complexType>
                                  <xsd:sequence minOccurs="0">
                                    <xsd:element minOccurs="0" maxOccurs="unbounded" nillable="true" name="li" form="qualified">
                                      <xsd:complexType>
                                        <xsd:sequence minOccurs="0">
                                          <xsd:element minOccurs="0" nillable="true" name="a" form="qualified">
                                            <xsd:complexType>
                                              <xsd:simpleContent>
                                                <xsd:extension base="xsd:string">
                                                  <xsd:attribute name="href" form="unqualified" type="xsd:string"/>
                                                  <xsd:attribute name="class" form="unqualified" type="xsd:string"/>
                                                  <xsd:attribute name="title" form="unqualified" type="xsd:string"/>
                                                </xsd:extension>
                                              </xsd:simpleContent>
                                            </xsd:complexType>
                                          </xsd:element>
                                        </xsd:sequence>
                                        <xsd:attribute name="id" form="unqualified" type="xsd:string"/>
                                      </xsd:complexType>
                                    </xsd:element>
                                  </xsd:sequence>
                                  <xsd:attribute name="id" form="unqualified" type="xsd:string"/>
                                </xsd:complexType>
                              </xsd:element>
                            </xsd:sequence>
                            <xsd:attribute name="id" form="unqualified" type="xsd:string"/>
                            <xsd:attribute name="class" form="unqualified" type="xsd:string"/>
                          </xsd:complexType>
                        </xsd:element>
                        <xsd:element minOccurs="0" maxOccurs="unbounded" nillable="true" name="script" form="qualified">
                          <xsd:complexType>
                            <xsd:simpleContent>
                              <xsd:extension base="xsd:string">
                                <xsd:attribute name="type" form="unqualified" type="xsd:string"/>
                                <xsd:attribute name="src" form="unqualified" type="xsd:string"/>
                              </xsd:extension>
                            </xsd:simpleContent>
                          </xsd:complexType>
                        </xsd:element>
                        <xsd:element minOccurs="0" nillable="true" name="p" form="qualified">
                          <xsd:complexType>
                            <xsd:sequence minOccurs="0">
                              <xsd:element minOccurs="0" nillable="true" name="a" form="qualified">
                                <xsd:complexType>
                                  <xsd:sequence minOccurs="0">
                                    <xsd:element minOccurs="0" nillable="true" type="xsd:string" name="b" form="qualified"/>
                                  </xsd:sequence>
                                  <xsd:attribute name="href" form="unqualified" type="xsd:anyURI"/>
                                  <xsd:attribute name="target" form="unqualified" type="xsd:string"/>
                                </xsd:complexType>
                              </xsd:element>
                            </xsd:sequence>
                            <xsd:attribute name="id" form="unqualified" type="xsd:string"/>
                          </xsd:complexType>
                        </xsd:element>
                        <xsd:element minOccurs="0" nillable="true" name="a" form="qualified">
                          <xsd:complexType>
                            <xsd:simpleContent>
                              <xsd:extension base="xsd:string">
                                <xsd:attribute name="id" form="unqualified" type="xsd:string"/>
                                <xsd:attribute name="href" form="unqualified" type="xsd:string"/>
                                <xsd:attribute name="style" form="unqualified" type="xsd:string"/>
                              </xsd:extension>
                            </xsd:simpleContent>
                          </xsd:complexType>
                        </xsd:element>
                      </xsd:sequence>
                      <xsd:attribute name="name" form="unqualified" type="xsd:string"/>
                      <xsd:attribute name="method" form="unqualified" type="xsd:string"/>
                      <xsd:attribute name="action" form="unqualified" type="xsd:string"/>
                      <xsd:attribute name="id" form="unqualified" type="xsd:string"/>
                    </xsd:complexType>
                  </xsd:element>
                  <xsd:element minOccurs="0" maxOccurs="unbounded" nillable="true" name="script" form="qualified">
                    <xsd:complexType>
                      <xsd:simpleContent>
                        <xsd:extension base="xsd:string">
                          <xsd:attribute name="type" form="unqualified" type="xsd:string"/>
                        </xsd:extension>
                      </xsd:simpleContent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html_Map" RootElement="html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xmlMaps" Target="xmlMap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6</xdr:row>
      <xdr:rowOff>152400</xdr:rowOff>
    </xdr:from>
    <xdr:to>
      <xdr:col>7</xdr:col>
      <xdr:colOff>266700</xdr:colOff>
      <xdr:row>18</xdr:row>
      <xdr:rowOff>101600</xdr:rowOff>
    </xdr:to>
    <xdr:sp macro="" textlink="">
      <xdr:nvSpPr>
        <xdr:cNvPr id="7" name="Pijl: rechts 6">
          <a:extLst>
            <a:ext uri="{FF2B5EF4-FFF2-40B4-BE49-F238E27FC236}">
              <a16:creationId xmlns:a16="http://schemas.microsoft.com/office/drawing/2014/main" id="{3B5F5E49-DDA3-4F4A-A933-3AB8732E8721}"/>
            </a:ext>
          </a:extLst>
        </xdr:cNvPr>
        <xdr:cNvSpPr/>
      </xdr:nvSpPr>
      <xdr:spPr>
        <a:xfrm>
          <a:off x="5549900" y="1257300"/>
          <a:ext cx="1123950" cy="2159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431C9A-2C6A-409F-B320-7366184525D2}" name="Tabel6" displayName="Tabel6" ref="I1:M29" totalsRowCount="1" headerRowDxfId="5">
  <autoFilter ref="I1:M28" xr:uid="{E2431C9A-2C6A-409F-B320-7366184525D2}"/>
  <tableColumns count="5">
    <tableColumn id="1" xr3:uid="{D13A5734-ADE4-4E43-A03F-7B2FFA2B2F55}" name="Onderneming (2011)" totalsRowLabel="Totaal"/>
    <tableColumn id="2" xr3:uid="{6991286C-A0CD-402A-8E09-E818FCC03991}" name="Dividend" dataDxfId="8" totalsRowDxfId="3"/>
    <tableColumn id="3" xr3:uid="{0B244FBF-E7C6-4C10-9B61-A7A353DFCF78}" name="Omzet" dataDxfId="7" totalsRowDxfId="2"/>
    <tableColumn id="4" xr3:uid="{EEFEE7E9-BEA4-4865-BF58-24D76E51E557}" name="EBITDA" totalsRowFunction="sum" dataDxfId="6" totalsRowDxfId="1"/>
    <tableColumn id="5" xr3:uid="{9BC68A16-15AB-43AD-9A5B-A58EA608013A}" name="EBITDA / Omzet" dataDxfId="4" totalsRowDxfId="0">
      <calculatedColumnFormula>Tabel6[[#This Row],[EBITDA]]/Tabel6[[#This Row],[Omzet]]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50BFF9-1CBE-4072-9E65-A52E0A7EA897}" name="Tabel1" displayName="Tabel1" ref="A1:L201" totalsRowShown="0" headerRowDxfId="22" dataDxfId="21" headerRowCellStyle="Komma" dataCellStyle="Komma">
  <autoFilter ref="A1:L201" xr:uid="{1750BFF9-1CBE-4072-9E65-A52E0A7EA897}"/>
  <tableColumns count="12">
    <tableColumn id="1" xr3:uid="{F5E370B6-4E0D-4137-920B-BBB6593F9E66}" name="Beurs" dataDxfId="20"/>
    <tableColumn id="2" xr3:uid="{D7ADD023-9AD9-452D-A5FF-1BC0ACF832E0}" name="Fonds" dataDxfId="19"/>
    <tableColumn id="3" xr3:uid="{49B128E4-E635-44B5-A645-65E7215BB180}" name="Sector" dataDxfId="18"/>
    <tableColumn id="4" xr3:uid="{F4278AD7-6F07-4A66-B59B-1CFBF7388768}" name="Jaar" dataDxfId="17"/>
    <tableColumn id="5" xr3:uid="{8C812362-F3F4-49C6-A64C-8D2C9496A465}" name="Aandelen" dataDxfId="16" dataCellStyle="Komma"/>
    <tableColumn id="6" xr3:uid="{03DA5B66-CD5C-4F19-A5F5-FCBD508B84F8}" name="Ultimo koers" dataDxfId="9" dataCellStyle="Komma"/>
    <tableColumn id="7" xr3:uid="{4BBF15CD-72A9-4375-862B-3A50D2435E76}" name="Omzet" dataDxfId="15" dataCellStyle="Komma"/>
    <tableColumn id="8" xr3:uid="{79745D2D-2012-4F8F-BF5F-13E8F929DDD1}" name="EBITDA" dataDxfId="14" dataCellStyle="Komma"/>
    <tableColumn id="9" xr3:uid="{C9063AF1-92FA-4E76-BC01-36047C0E666C}" name="Total assets" dataDxfId="13" dataCellStyle="Komma"/>
    <tableColumn id="10" xr3:uid="{A096D49E-A176-4ED9-BED1-FD4A82EAAB18}" name="LT Debt" dataDxfId="12" dataCellStyle="Komma"/>
    <tableColumn id="11" xr3:uid="{55ADCA77-1B29-4429-A9CD-47427B8873BE}" name="Finance expenses" dataDxfId="11" dataCellStyle="Komma"/>
    <tableColumn id="12" xr3:uid="{2F5A49CF-7EE6-4301-923A-E9A496F4DBF5}" name="Dividends / share" dataDxfId="10" dataCellStyle="Komma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CFA0-7631-41DB-8CC2-AB5059332B36}">
  <sheetPr>
    <tabColor rgb="FFFFFF00"/>
  </sheetPr>
  <dimension ref="A1:M29"/>
  <sheetViews>
    <sheetView tabSelected="1" workbookViewId="0">
      <pane ySplit="1" topLeftCell="A2" activePane="bottomLeft" state="frozen"/>
      <selection pane="bottomLeft" activeCell="E7" sqref="E7"/>
    </sheetView>
  </sheetViews>
  <sheetFormatPr defaultRowHeight="14.5" x14ac:dyDescent="0.35"/>
  <cols>
    <col min="1" max="1" width="21.90625" bestFit="1" customWidth="1"/>
    <col min="2" max="2" width="8.1796875" style="31" bestFit="1" customWidth="1"/>
    <col min="3" max="4" width="11.81640625" bestFit="1" customWidth="1"/>
    <col min="5" max="5" width="20.54296875" bestFit="1" customWidth="1"/>
    <col min="9" max="9" width="22.7265625" bestFit="1" customWidth="1"/>
    <col min="10" max="10" width="12.7265625" bestFit="1" customWidth="1"/>
    <col min="11" max="12" width="12.36328125" bestFit="1" customWidth="1"/>
    <col min="13" max="13" width="20.54296875" bestFit="1" customWidth="1"/>
  </cols>
  <sheetData>
    <row r="1" spans="1:13" s="28" customFormat="1" x14ac:dyDescent="0.35">
      <c r="A1" s="28" t="s">
        <v>75</v>
      </c>
      <c r="B1" s="30" t="s">
        <v>76</v>
      </c>
      <c r="C1" s="28" t="s">
        <v>1</v>
      </c>
      <c r="D1" s="28" t="s">
        <v>2</v>
      </c>
      <c r="E1" s="28" t="s">
        <v>78</v>
      </c>
      <c r="I1" s="28" t="s">
        <v>75</v>
      </c>
      <c r="J1" s="28" t="s">
        <v>76</v>
      </c>
      <c r="K1" s="28" t="s">
        <v>1</v>
      </c>
      <c r="L1" s="28" t="s">
        <v>2</v>
      </c>
      <c r="M1" s="28" t="s">
        <v>78</v>
      </c>
    </row>
    <row r="2" spans="1:13" x14ac:dyDescent="0.35">
      <c r="A2" t="s">
        <v>7</v>
      </c>
      <c r="B2" s="31" t="s">
        <v>55</v>
      </c>
      <c r="C2">
        <v>29197000</v>
      </c>
      <c r="D2">
        <v>3078000</v>
      </c>
      <c r="E2">
        <v>0.10542178990992225</v>
      </c>
      <c r="I2" t="s">
        <v>7</v>
      </c>
      <c r="J2" s="26" t="s">
        <v>55</v>
      </c>
      <c r="K2" s="27">
        <v>29197000</v>
      </c>
      <c r="L2" s="27">
        <v>3078000</v>
      </c>
      <c r="M2">
        <f>Tabel6[[#This Row],[EBITDA]]/Tabel6[[#This Row],[Omzet]]</f>
        <v>0.10542178990992225</v>
      </c>
    </row>
    <row r="3" spans="1:13" x14ac:dyDescent="0.35">
      <c r="A3" t="s">
        <v>8</v>
      </c>
      <c r="B3" s="31" t="s">
        <v>56</v>
      </c>
      <c r="C3">
        <v>30271000</v>
      </c>
      <c r="D3">
        <v>2144000</v>
      </c>
      <c r="E3">
        <v>7.0826863995242975E-2</v>
      </c>
      <c r="I3" t="s">
        <v>8</v>
      </c>
      <c r="J3" s="26" t="s">
        <v>56</v>
      </c>
      <c r="K3" s="27">
        <v>30271000</v>
      </c>
      <c r="L3" s="27">
        <v>2144000</v>
      </c>
      <c r="M3">
        <f>Tabel6[[#This Row],[EBITDA]]/Tabel6[[#This Row],[Omzet]]</f>
        <v>7.0826863995242975E-2</v>
      </c>
    </row>
    <row r="4" spans="1:13" x14ac:dyDescent="0.35">
      <c r="A4" t="s">
        <v>25</v>
      </c>
      <c r="B4" s="31" t="s">
        <v>57</v>
      </c>
      <c r="C4">
        <v>24402000</v>
      </c>
      <c r="D4">
        <v>1535000</v>
      </c>
      <c r="E4">
        <v>6.2904679944266864E-2</v>
      </c>
      <c r="I4" t="s">
        <v>25</v>
      </c>
      <c r="J4" s="26" t="s">
        <v>57</v>
      </c>
      <c r="K4" s="27">
        <v>24402000</v>
      </c>
      <c r="L4" s="27">
        <v>1535000</v>
      </c>
      <c r="M4">
        <f>Tabel6[[#This Row],[EBITDA]]/Tabel6[[#This Row],[Omzet]]</f>
        <v>6.2904679944266864E-2</v>
      </c>
    </row>
    <row r="5" spans="1:13" x14ac:dyDescent="0.35">
      <c r="A5" t="s">
        <v>26</v>
      </c>
      <c r="B5" s="31" t="s">
        <v>58</v>
      </c>
      <c r="C5">
        <v>15697000</v>
      </c>
      <c r="D5">
        <v>2119000</v>
      </c>
      <c r="E5">
        <v>0.13499394788813149</v>
      </c>
      <c r="I5" t="s">
        <v>26</v>
      </c>
      <c r="J5" s="26" t="s">
        <v>58</v>
      </c>
      <c r="K5" s="27">
        <v>15697000</v>
      </c>
      <c r="L5" s="27">
        <v>2119000</v>
      </c>
      <c r="M5">
        <f>Tabel6[[#This Row],[EBITDA]]/Tabel6[[#This Row],[Omzet]]</f>
        <v>0.13499394788813149</v>
      </c>
    </row>
    <row r="6" spans="1:13" x14ac:dyDescent="0.35">
      <c r="A6" t="s">
        <v>27</v>
      </c>
      <c r="B6" s="31" t="s">
        <v>59</v>
      </c>
      <c r="C6">
        <v>69650000</v>
      </c>
      <c r="D6">
        <v>7359230.769230769</v>
      </c>
      <c r="E6">
        <v>0.10566016897675189</v>
      </c>
      <c r="I6" t="s">
        <v>27</v>
      </c>
      <c r="J6" s="26" t="s">
        <v>59</v>
      </c>
      <c r="K6" s="27">
        <v>69650000</v>
      </c>
      <c r="L6" s="27">
        <v>7359230.769230769</v>
      </c>
      <c r="M6">
        <f>Tabel6[[#This Row],[EBITDA]]/Tabel6[[#This Row],[Omzet]]</f>
        <v>0.10566016897675189</v>
      </c>
    </row>
    <row r="7" spans="1:13" x14ac:dyDescent="0.35">
      <c r="A7" t="s">
        <v>28</v>
      </c>
      <c r="B7" s="31" t="s">
        <v>60</v>
      </c>
      <c r="C7">
        <v>5651000</v>
      </c>
      <c r="D7">
        <v>1909000</v>
      </c>
      <c r="E7">
        <v>0.33781631569633691</v>
      </c>
      <c r="I7" t="s">
        <v>28</v>
      </c>
      <c r="J7" s="26" t="s">
        <v>60</v>
      </c>
      <c r="K7" s="27">
        <v>5651000</v>
      </c>
      <c r="L7" s="27">
        <v>1909000</v>
      </c>
      <c r="M7">
        <f>Tabel6[[#This Row],[EBITDA]]/Tabel6[[#This Row],[Omzet]]</f>
        <v>0.33781631569633691</v>
      </c>
    </row>
    <row r="8" spans="1:13" x14ac:dyDescent="0.35">
      <c r="A8" t="s">
        <v>10</v>
      </c>
      <c r="B8" s="31" t="s">
        <v>61</v>
      </c>
      <c r="C8">
        <v>2809200</v>
      </c>
      <c r="D8">
        <v>590500</v>
      </c>
      <c r="E8" t="s">
        <v>79</v>
      </c>
      <c r="I8" t="s">
        <v>10</v>
      </c>
      <c r="J8" s="26" t="s">
        <v>61</v>
      </c>
      <c r="K8" s="27">
        <v>2809200</v>
      </c>
      <c r="L8" s="27">
        <v>590500</v>
      </c>
      <c r="M8" s="29" t="s">
        <v>79</v>
      </c>
    </row>
    <row r="9" spans="1:13" x14ac:dyDescent="0.35">
      <c r="A9" t="s">
        <v>11</v>
      </c>
      <c r="B9" s="31" t="s">
        <v>62</v>
      </c>
      <c r="C9">
        <v>460300</v>
      </c>
      <c r="D9">
        <v>369100</v>
      </c>
      <c r="E9">
        <v>0.8018683467303932</v>
      </c>
      <c r="I9" t="s">
        <v>11</v>
      </c>
      <c r="J9" s="26" t="s">
        <v>62</v>
      </c>
      <c r="K9" s="27">
        <v>460300</v>
      </c>
      <c r="L9" s="27">
        <v>369100</v>
      </c>
      <c r="M9">
        <f>Tabel6[[#This Row],[EBITDA]]/Tabel6[[#This Row],[Omzet]]</f>
        <v>0.8018683467303932</v>
      </c>
    </row>
    <row r="10" spans="1:13" x14ac:dyDescent="0.35">
      <c r="A10" t="s">
        <v>37</v>
      </c>
      <c r="B10" s="31" t="s">
        <v>57</v>
      </c>
      <c r="C10">
        <v>2793000</v>
      </c>
      <c r="D10">
        <v>405000</v>
      </c>
      <c r="E10">
        <v>0.14500537056928034</v>
      </c>
      <c r="I10" t="s">
        <v>37</v>
      </c>
      <c r="J10" s="26" t="s">
        <v>57</v>
      </c>
      <c r="K10" s="27">
        <v>2793000</v>
      </c>
      <c r="L10" s="27">
        <v>405000</v>
      </c>
      <c r="M10">
        <f>Tabel6[[#This Row],[EBITDA]]/Tabel6[[#This Row],[Omzet]]</f>
        <v>0.14500537056928034</v>
      </c>
    </row>
    <row r="11" spans="1:13" x14ac:dyDescent="0.35">
      <c r="A11" t="s">
        <v>12</v>
      </c>
      <c r="B11" s="31" t="s">
        <v>63</v>
      </c>
      <c r="C11">
        <v>9193000</v>
      </c>
      <c r="D11">
        <v>1430000</v>
      </c>
      <c r="E11">
        <v>0.15555313825736974</v>
      </c>
      <c r="I11" t="s">
        <v>12</v>
      </c>
      <c r="J11" s="26" t="s">
        <v>63</v>
      </c>
      <c r="K11" s="27">
        <v>9193000</v>
      </c>
      <c r="L11" s="27">
        <v>1430000</v>
      </c>
      <c r="M11">
        <f>Tabel6[[#This Row],[EBITDA]]/Tabel6[[#This Row],[Omzet]]</f>
        <v>0.15555313825736974</v>
      </c>
    </row>
    <row r="12" spans="1:13" x14ac:dyDescent="0.35">
      <c r="A12" t="s">
        <v>13</v>
      </c>
      <c r="B12" s="31" t="s">
        <v>64</v>
      </c>
      <c r="C12">
        <v>2576500</v>
      </c>
      <c r="D12">
        <v>580988</v>
      </c>
      <c r="E12">
        <v>0.22549505142635359</v>
      </c>
      <c r="I12" t="s">
        <v>13</v>
      </c>
      <c r="J12" s="26" t="s">
        <v>64</v>
      </c>
      <c r="K12" s="27">
        <v>2576500</v>
      </c>
      <c r="L12" s="27">
        <v>580988</v>
      </c>
      <c r="M12">
        <f>Tabel6[[#This Row],[EBITDA]]/Tabel6[[#This Row],[Omzet]]</f>
        <v>0.22549505142635359</v>
      </c>
    </row>
    <row r="13" spans="1:13" x14ac:dyDescent="0.35">
      <c r="A13" t="s">
        <v>14</v>
      </c>
      <c r="B13" s="31" t="s">
        <v>65</v>
      </c>
      <c r="C13">
        <v>17187000</v>
      </c>
      <c r="D13">
        <v>3623000</v>
      </c>
      <c r="E13">
        <v>0.21079885960318845</v>
      </c>
      <c r="I13" t="s">
        <v>14</v>
      </c>
      <c r="J13" s="26" t="s">
        <v>65</v>
      </c>
      <c r="K13" s="27">
        <v>17187000</v>
      </c>
      <c r="L13" s="27">
        <v>3623000</v>
      </c>
      <c r="M13">
        <f>Tabel6[[#This Row],[EBITDA]]/Tabel6[[#This Row],[Omzet]]</f>
        <v>0.21079885960318845</v>
      </c>
    </row>
    <row r="14" spans="1:13" s="1" customFormat="1" x14ac:dyDescent="0.35">
      <c r="A14" s="1" t="s">
        <v>14</v>
      </c>
      <c r="B14" s="31" t="s">
        <v>65</v>
      </c>
      <c r="C14" s="1">
        <v>17187000</v>
      </c>
      <c r="D14" s="1">
        <v>3623000</v>
      </c>
      <c r="E14" s="1">
        <v>0.21079885960318845</v>
      </c>
      <c r="I14" s="1" t="s">
        <v>14</v>
      </c>
      <c r="J14" s="26" t="s">
        <v>65</v>
      </c>
      <c r="K14" s="27">
        <v>17187000</v>
      </c>
      <c r="L14" s="27">
        <v>3623000</v>
      </c>
      <c r="M14" s="1">
        <f>Tabel6[[#This Row],[EBITDA]]/Tabel6[[#This Row],[Omzet]]</f>
        <v>0.21079885960318845</v>
      </c>
    </row>
    <row r="15" spans="1:13" s="1" customFormat="1" x14ac:dyDescent="0.35">
      <c r="A15" s="1" t="s">
        <v>14</v>
      </c>
      <c r="B15" s="31" t="s">
        <v>65</v>
      </c>
      <c r="C15" s="1">
        <v>17187000</v>
      </c>
      <c r="D15" s="1">
        <v>3623000</v>
      </c>
      <c r="E15" s="1">
        <v>0.21079885960318845</v>
      </c>
      <c r="I15" s="1" t="s">
        <v>14</v>
      </c>
      <c r="J15" s="26" t="s">
        <v>65</v>
      </c>
      <c r="K15" s="27">
        <v>17187000</v>
      </c>
      <c r="L15" s="27">
        <v>3623000</v>
      </c>
      <c r="M15" s="1">
        <f>Tabel6[[#This Row],[EBITDA]]/Tabel6[[#This Row],[Omzet]]</f>
        <v>0.21079885960318845</v>
      </c>
    </row>
    <row r="16" spans="1:13" x14ac:dyDescent="0.35">
      <c r="A16" t="s">
        <v>34</v>
      </c>
      <c r="B16" s="31" t="s">
        <v>57</v>
      </c>
      <c r="C16">
        <v>56892387</v>
      </c>
      <c r="D16">
        <v>8151000</v>
      </c>
      <c r="E16">
        <v>0.14327048713916679</v>
      </c>
      <c r="I16" t="s">
        <v>34</v>
      </c>
      <c r="J16" s="26" t="s">
        <v>57</v>
      </c>
      <c r="K16" s="27">
        <v>56892387</v>
      </c>
      <c r="L16" s="27">
        <v>8151000</v>
      </c>
      <c r="M16">
        <f>Tabel6[[#This Row],[EBITDA]]/Tabel6[[#This Row],[Omzet]]</f>
        <v>0.14327048713916679</v>
      </c>
    </row>
    <row r="17" spans="1:13" x14ac:dyDescent="0.35">
      <c r="A17" t="s">
        <v>15</v>
      </c>
      <c r="B17" s="31" t="s">
        <v>66</v>
      </c>
      <c r="C17">
        <v>13163000</v>
      </c>
      <c r="D17">
        <v>5138000</v>
      </c>
      <c r="E17">
        <v>0.39033654941882551</v>
      </c>
      <c r="I17" t="s">
        <v>15</v>
      </c>
      <c r="J17" s="26" t="s">
        <v>66</v>
      </c>
      <c r="K17" s="27">
        <v>13163000</v>
      </c>
      <c r="L17" s="27">
        <v>5138000</v>
      </c>
      <c r="M17">
        <f>Tabel6[[#This Row],[EBITDA]]/Tabel6[[#This Row],[Omzet]]</f>
        <v>0.39033654941882551</v>
      </c>
    </row>
    <row r="18" spans="1:13" x14ac:dyDescent="0.35">
      <c r="A18" t="s">
        <v>29</v>
      </c>
      <c r="B18" s="31" t="s">
        <v>59</v>
      </c>
      <c r="C18">
        <v>22579000</v>
      </c>
      <c r="D18">
        <v>1187000</v>
      </c>
      <c r="E18">
        <v>5.2570973028034901E-2</v>
      </c>
      <c r="I18" t="s">
        <v>29</v>
      </c>
      <c r="J18" s="26" t="s">
        <v>59</v>
      </c>
      <c r="K18" s="27">
        <v>22579000</v>
      </c>
      <c r="L18" s="27">
        <v>1187000</v>
      </c>
      <c r="M18">
        <f>Tabel6[[#This Row],[EBITDA]]/Tabel6[[#This Row],[Omzet]]</f>
        <v>5.2570973028034901E-2</v>
      </c>
    </row>
    <row r="19" spans="1:13" x14ac:dyDescent="0.35">
      <c r="A19" t="s">
        <v>30</v>
      </c>
      <c r="B19" s="31" t="s">
        <v>67</v>
      </c>
      <c r="C19">
        <v>4350000</v>
      </c>
      <c r="D19">
        <v>529000</v>
      </c>
      <c r="E19">
        <v>0.12160919540229885</v>
      </c>
      <c r="I19" t="s">
        <v>30</v>
      </c>
      <c r="J19" s="26" t="s">
        <v>67</v>
      </c>
      <c r="K19" s="27">
        <v>4350000</v>
      </c>
      <c r="L19" s="27">
        <v>529000</v>
      </c>
      <c r="M19">
        <f>Tabel6[[#This Row],[EBITDA]]/Tabel6[[#This Row],[Omzet]]</f>
        <v>0.12160919540229885</v>
      </c>
    </row>
    <row r="20" spans="1:13" s="1" customFormat="1" x14ac:dyDescent="0.35">
      <c r="A20" s="1" t="s">
        <v>30</v>
      </c>
      <c r="B20" s="31" t="s">
        <v>67</v>
      </c>
      <c r="C20" s="1">
        <v>4350000</v>
      </c>
      <c r="D20" s="1">
        <v>529000</v>
      </c>
      <c r="E20" s="1">
        <v>0.12160919540229885</v>
      </c>
      <c r="I20" s="1" t="s">
        <v>30</v>
      </c>
      <c r="J20" s="26" t="s">
        <v>67</v>
      </c>
      <c r="K20" s="27">
        <v>4350000</v>
      </c>
      <c r="L20" s="27">
        <v>529000</v>
      </c>
      <c r="M20" s="1">
        <f>Tabel6[[#This Row],[EBITDA]]/Tabel6[[#This Row],[Omzet]]</f>
        <v>0.12160919540229885</v>
      </c>
    </row>
    <row r="21" spans="1:13" x14ac:dyDescent="0.35">
      <c r="A21" t="s">
        <v>16</v>
      </c>
      <c r="B21" s="31" t="s">
        <v>68</v>
      </c>
      <c r="C21">
        <v>16224900</v>
      </c>
      <c r="D21">
        <v>304000</v>
      </c>
      <c r="E21">
        <v>1.8736633199588286E-2</v>
      </c>
      <c r="I21" t="s">
        <v>16</v>
      </c>
      <c r="J21" s="26" t="s">
        <v>68</v>
      </c>
      <c r="K21" s="27">
        <v>16224900</v>
      </c>
      <c r="L21" s="27">
        <v>304000</v>
      </c>
      <c r="M21">
        <f>Tabel6[[#This Row],[EBITDA]]/Tabel6[[#This Row],[Omzet]]</f>
        <v>1.8736633199588286E-2</v>
      </c>
    </row>
    <row r="22" spans="1:13" x14ac:dyDescent="0.35">
      <c r="A22" t="s">
        <v>17</v>
      </c>
      <c r="B22" s="31" t="s">
        <v>69</v>
      </c>
      <c r="C22">
        <v>7202400</v>
      </c>
      <c r="D22">
        <v>2082000</v>
      </c>
      <c r="E22">
        <v>0.28907030989670107</v>
      </c>
      <c r="I22" t="s">
        <v>17</v>
      </c>
      <c r="J22" s="26" t="s">
        <v>69</v>
      </c>
      <c r="K22" s="27">
        <v>7202400</v>
      </c>
      <c r="L22" s="27">
        <v>2082000</v>
      </c>
      <c r="M22">
        <f>Tabel6[[#This Row],[EBITDA]]/Tabel6[[#This Row],[Omzet]]</f>
        <v>0.28907030989670107</v>
      </c>
    </row>
    <row r="23" spans="1:13" x14ac:dyDescent="0.35">
      <c r="A23" t="s">
        <v>31</v>
      </c>
      <c r="B23" s="31" t="s">
        <v>70</v>
      </c>
      <c r="C23">
        <v>347609797.5</v>
      </c>
      <c r="D23">
        <v>52650750</v>
      </c>
      <c r="E23">
        <v>0.15146509211956261</v>
      </c>
      <c r="I23" t="s">
        <v>31</v>
      </c>
      <c r="J23" s="26" t="s">
        <v>70</v>
      </c>
      <c r="K23" s="27">
        <v>347609797.5</v>
      </c>
      <c r="L23" s="27">
        <v>52650750</v>
      </c>
      <c r="M23">
        <f>Tabel6[[#This Row],[EBITDA]]/Tabel6[[#This Row],[Omzet]]</f>
        <v>0.15146509211956261</v>
      </c>
    </row>
    <row r="24" spans="1:13" x14ac:dyDescent="0.35">
      <c r="A24" t="s">
        <v>32</v>
      </c>
      <c r="B24" s="31" t="s">
        <v>57</v>
      </c>
      <c r="C24">
        <v>2428330.769230769</v>
      </c>
      <c r="D24">
        <v>625384.61538461538</v>
      </c>
      <c r="E24">
        <v>0.25753683283547102</v>
      </c>
      <c r="I24" t="s">
        <v>32</v>
      </c>
      <c r="J24" s="26" t="s">
        <v>57</v>
      </c>
      <c r="K24" s="27">
        <v>2428330.769230769</v>
      </c>
      <c r="L24" s="27">
        <v>625384.61538461538</v>
      </c>
      <c r="M24">
        <f>Tabel6[[#This Row],[EBITDA]]/Tabel6[[#This Row],[Omzet]]</f>
        <v>0.25753683283547102</v>
      </c>
    </row>
    <row r="25" spans="1:13" x14ac:dyDescent="0.35">
      <c r="A25" t="s">
        <v>33</v>
      </c>
      <c r="B25" s="31" t="s">
        <v>71</v>
      </c>
      <c r="C25">
        <v>7246000</v>
      </c>
      <c r="D25">
        <v>389000</v>
      </c>
      <c r="E25">
        <v>5.3684791609163673E-2</v>
      </c>
      <c r="I25" t="s">
        <v>33</v>
      </c>
      <c r="J25" s="26" t="s">
        <v>71</v>
      </c>
      <c r="K25" s="27">
        <v>7246000</v>
      </c>
      <c r="L25" s="27">
        <v>389000</v>
      </c>
      <c r="M25">
        <f>Tabel6[[#This Row],[EBITDA]]/Tabel6[[#This Row],[Omzet]]</f>
        <v>5.3684791609163673E-2</v>
      </c>
    </row>
    <row r="26" spans="1:13" x14ac:dyDescent="0.35">
      <c r="A26" t="s">
        <v>36</v>
      </c>
      <c r="B26" s="31" t="s">
        <v>72</v>
      </c>
      <c r="C26">
        <v>1463000</v>
      </c>
      <c r="D26">
        <v>2132000</v>
      </c>
      <c r="E26">
        <v>1.4572795625427204</v>
      </c>
      <c r="I26" t="s">
        <v>36</v>
      </c>
      <c r="J26" s="26" t="s">
        <v>72</v>
      </c>
      <c r="K26" s="27">
        <v>1463000</v>
      </c>
      <c r="L26" s="27">
        <v>2132000</v>
      </c>
      <c r="M26">
        <f>Tabel6[[#This Row],[EBITDA]]/Tabel6[[#This Row],[Omzet]]</f>
        <v>1.4572795625427204</v>
      </c>
    </row>
    <row r="27" spans="1:13" x14ac:dyDescent="0.35">
      <c r="A27" t="s">
        <v>35</v>
      </c>
      <c r="B27" s="31" t="s">
        <v>73</v>
      </c>
      <c r="C27">
        <v>46467000</v>
      </c>
      <c r="D27">
        <v>7814000</v>
      </c>
      <c r="E27">
        <v>0.16816235177652958</v>
      </c>
      <c r="I27" t="s">
        <v>35</v>
      </c>
      <c r="J27" s="26" t="s">
        <v>73</v>
      </c>
      <c r="K27" s="27">
        <v>46467000</v>
      </c>
      <c r="L27" s="27">
        <v>7814000</v>
      </c>
      <c r="M27">
        <f>Tabel6[[#This Row],[EBITDA]]/Tabel6[[#This Row],[Omzet]]</f>
        <v>0.16816235177652958</v>
      </c>
    </row>
    <row r="28" spans="1:13" x14ac:dyDescent="0.35">
      <c r="A28" t="s">
        <v>18</v>
      </c>
      <c r="B28" s="31" t="s">
        <v>74</v>
      </c>
      <c r="C28">
        <v>3354000</v>
      </c>
      <c r="D28">
        <v>705000</v>
      </c>
      <c r="E28">
        <v>0.21019677996422181</v>
      </c>
      <c r="I28" t="s">
        <v>18</v>
      </c>
      <c r="J28" s="26" t="s">
        <v>74</v>
      </c>
      <c r="K28" s="27">
        <v>3354000</v>
      </c>
      <c r="L28" s="27">
        <v>705000</v>
      </c>
      <c r="M28">
        <f>Tabel6[[#This Row],[EBITDA]]/Tabel6[[#This Row],[Omzet]]</f>
        <v>0.21019677996422181</v>
      </c>
    </row>
    <row r="29" spans="1:13" x14ac:dyDescent="0.35">
      <c r="I29" s="1" t="s">
        <v>77</v>
      </c>
      <c r="J29" s="26"/>
      <c r="K29" s="26"/>
      <c r="L29" s="27">
        <f>SUBTOTAL(109,Tabel6[EBITDA])</f>
        <v>114624953.38461538</v>
      </c>
      <c r="M29" s="26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N201"/>
  <sheetViews>
    <sheetView zoomScaleNormal="100"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C25" sqref="C25"/>
    </sheetView>
  </sheetViews>
  <sheetFormatPr defaultColWidth="9.08984375" defaultRowHeight="14.5" x14ac:dyDescent="0.35"/>
  <cols>
    <col min="1" max="1" width="9.08984375" style="9"/>
    <col min="2" max="2" width="22.6328125" style="7" bestFit="1" customWidth="1"/>
    <col min="3" max="3" width="37.08984375" style="7" bestFit="1" customWidth="1"/>
    <col min="4" max="4" width="9.08984375" style="7"/>
    <col min="5" max="5" width="13" style="23" bestFit="1" customWidth="1"/>
    <col min="6" max="6" width="14.90625" style="13" customWidth="1"/>
    <col min="7" max="7" width="15.6328125" style="23" bestFit="1" customWidth="1"/>
    <col min="8" max="8" width="15.6328125" style="24" bestFit="1" customWidth="1"/>
    <col min="9" max="10" width="15.6328125" style="24" customWidth="1"/>
    <col min="11" max="11" width="18.08984375" style="24" customWidth="1"/>
    <col min="12" max="12" width="18.90625" style="15" customWidth="1"/>
    <col min="13" max="16384" width="9.08984375" style="7"/>
  </cols>
  <sheetData>
    <row r="1" spans="1:12" s="11" customFormat="1" x14ac:dyDescent="0.35">
      <c r="A1" s="10" t="s">
        <v>5</v>
      </c>
      <c r="B1" s="10" t="s">
        <v>3</v>
      </c>
      <c r="C1" s="10" t="s">
        <v>22</v>
      </c>
      <c r="D1" s="10" t="s">
        <v>4</v>
      </c>
      <c r="E1" s="16" t="s">
        <v>0</v>
      </c>
      <c r="F1" s="25" t="s">
        <v>21</v>
      </c>
      <c r="G1" s="16" t="s">
        <v>1</v>
      </c>
      <c r="H1" s="17" t="s">
        <v>2</v>
      </c>
      <c r="I1" s="17" t="s">
        <v>19</v>
      </c>
      <c r="J1" s="17" t="s">
        <v>20</v>
      </c>
      <c r="K1" s="17" t="s">
        <v>38</v>
      </c>
      <c r="L1" s="12" t="s">
        <v>39</v>
      </c>
    </row>
    <row r="2" spans="1:12" s="4" customFormat="1" x14ac:dyDescent="0.35">
      <c r="A2" s="2" t="s">
        <v>6</v>
      </c>
      <c r="B2" s="3" t="s">
        <v>7</v>
      </c>
      <c r="C2" s="3" t="s">
        <v>40</v>
      </c>
      <c r="D2" s="3">
        <v>2006</v>
      </c>
      <c r="E2" s="18">
        <v>1622927</v>
      </c>
      <c r="F2" s="13">
        <v>14.45</v>
      </c>
      <c r="G2" s="18">
        <v>36615000</v>
      </c>
      <c r="H2" s="19">
        <f>E2*1.67</f>
        <v>2710288.09</v>
      </c>
      <c r="I2" s="19">
        <v>314813000</v>
      </c>
      <c r="J2" s="19">
        <v>292160000</v>
      </c>
      <c r="K2" s="19"/>
      <c r="L2" s="13"/>
    </row>
    <row r="3" spans="1:12" s="4" customFormat="1" x14ac:dyDescent="0.35">
      <c r="A3" s="2" t="s">
        <v>6</v>
      </c>
      <c r="B3" s="3" t="s">
        <v>7</v>
      </c>
      <c r="C3" s="3" t="s">
        <v>40</v>
      </c>
      <c r="D3" s="3">
        <v>2007</v>
      </c>
      <c r="E3" s="18">
        <v>1636545</v>
      </c>
      <c r="F3" s="13">
        <v>12.09</v>
      </c>
      <c r="G3" s="18">
        <v>39271000</v>
      </c>
      <c r="H3" s="19">
        <f>E3*1.57</f>
        <v>2569375.65</v>
      </c>
      <c r="I3" s="19">
        <v>314120000</v>
      </c>
      <c r="J3" s="19">
        <v>294158000</v>
      </c>
      <c r="K3" s="19"/>
      <c r="L3" s="13">
        <v>0.32</v>
      </c>
    </row>
    <row r="4" spans="1:12" s="4" customFormat="1" x14ac:dyDescent="0.35">
      <c r="A4" s="2" t="s">
        <v>6</v>
      </c>
      <c r="B4" s="3" t="s">
        <v>7</v>
      </c>
      <c r="C4" s="3" t="s">
        <v>40</v>
      </c>
      <c r="D4" s="3">
        <v>2008</v>
      </c>
      <c r="E4" s="18">
        <v>1578227</v>
      </c>
      <c r="F4" s="13">
        <v>4.53</v>
      </c>
      <c r="G4" s="18">
        <v>34082000</v>
      </c>
      <c r="H4" s="19">
        <f>E4*-0.72</f>
        <v>-1136323.44</v>
      </c>
      <c r="I4" s="19">
        <v>287259000</v>
      </c>
      <c r="J4" s="19">
        <v>273499000</v>
      </c>
      <c r="K4" s="19"/>
      <c r="L4" s="13">
        <v>0.3</v>
      </c>
    </row>
    <row r="5" spans="1:12" s="4" customFormat="1" x14ac:dyDescent="0.35">
      <c r="A5" s="2" t="s">
        <v>6</v>
      </c>
      <c r="B5" s="3" t="s">
        <v>7</v>
      </c>
      <c r="C5" s="3" t="s">
        <v>40</v>
      </c>
      <c r="D5" s="3">
        <v>2009</v>
      </c>
      <c r="E5" s="18">
        <v>1736049</v>
      </c>
      <c r="F5" s="13">
        <v>4.3339999999999996</v>
      </c>
      <c r="G5" s="18">
        <v>29751000</v>
      </c>
      <c r="H5" s="19">
        <v>801000</v>
      </c>
      <c r="I5" s="19">
        <v>298634000</v>
      </c>
      <c r="J5" s="19">
        <v>279751000</v>
      </c>
      <c r="K5" s="19">
        <v>412000</v>
      </c>
      <c r="L5" s="13"/>
    </row>
    <row r="6" spans="1:12" s="4" customFormat="1" x14ac:dyDescent="0.35">
      <c r="A6" s="2" t="s">
        <v>6</v>
      </c>
      <c r="B6" s="3" t="s">
        <v>7</v>
      </c>
      <c r="C6" s="3" t="s">
        <v>40</v>
      </c>
      <c r="D6" s="3">
        <v>2010</v>
      </c>
      <c r="E6" s="18">
        <v>1909674</v>
      </c>
      <c r="F6" s="13">
        <v>4.6260000000000003</v>
      </c>
      <c r="G6" s="18">
        <v>31608000</v>
      </c>
      <c r="H6" s="19">
        <v>3985000</v>
      </c>
      <c r="I6" s="19">
        <v>332203000</v>
      </c>
      <c r="J6" s="19">
        <v>308878000</v>
      </c>
      <c r="K6" s="19">
        <v>426000</v>
      </c>
      <c r="L6" s="13"/>
    </row>
    <row r="7" spans="1:12" s="4" customFormat="1" x14ac:dyDescent="0.35">
      <c r="A7" s="2" t="s">
        <v>6</v>
      </c>
      <c r="B7" s="3" t="s">
        <v>7</v>
      </c>
      <c r="C7" s="3" t="s">
        <v>40</v>
      </c>
      <c r="D7" s="3">
        <v>2011</v>
      </c>
      <c r="E7" s="18">
        <v>1909674</v>
      </c>
      <c r="F7" s="13">
        <v>3.1</v>
      </c>
      <c r="G7" s="19">
        <v>29197000</v>
      </c>
      <c r="H7" s="19">
        <v>3078000</v>
      </c>
      <c r="I7" s="19">
        <v>345577000</v>
      </c>
      <c r="J7" s="19">
        <v>319843000</v>
      </c>
      <c r="K7" s="19">
        <v>497000</v>
      </c>
      <c r="L7" s="13">
        <v>0.1</v>
      </c>
    </row>
    <row r="8" spans="1:12" s="4" customFormat="1" x14ac:dyDescent="0.35">
      <c r="A8" s="2" t="str">
        <f>A7</f>
        <v>AEX</v>
      </c>
      <c r="B8" s="5" t="str">
        <f>B7</f>
        <v>Aegon</v>
      </c>
      <c r="C8" s="5" t="s">
        <v>40</v>
      </c>
      <c r="D8" s="6">
        <f>D7+1</f>
        <v>2012</v>
      </c>
      <c r="E8" s="18"/>
      <c r="F8" s="13"/>
      <c r="G8" s="19"/>
      <c r="H8" s="19"/>
      <c r="I8" s="19"/>
      <c r="J8" s="19"/>
      <c r="K8" s="19"/>
      <c r="L8" s="13"/>
    </row>
    <row r="9" spans="1:12" s="4" customFormat="1" x14ac:dyDescent="0.35">
      <c r="A9" s="2" t="str">
        <f>A8</f>
        <v>AEX</v>
      </c>
      <c r="B9" s="5" t="str">
        <f>B8</f>
        <v>Aegon</v>
      </c>
      <c r="C9" s="5" t="s">
        <v>40</v>
      </c>
      <c r="D9" s="6">
        <f>D8+1</f>
        <v>2013</v>
      </c>
      <c r="E9" s="18"/>
      <c r="F9" s="13"/>
      <c r="G9" s="19"/>
      <c r="H9" s="19"/>
      <c r="I9" s="19"/>
      <c r="J9" s="19"/>
      <c r="K9" s="19"/>
      <c r="L9" s="13"/>
    </row>
    <row r="10" spans="1:12" s="4" customFormat="1" x14ac:dyDescent="0.35">
      <c r="A10" s="2" t="s">
        <v>6</v>
      </c>
      <c r="B10" s="3" t="s">
        <v>8</v>
      </c>
      <c r="C10" s="3" t="s">
        <v>41</v>
      </c>
      <c r="D10" s="3">
        <v>2006</v>
      </c>
      <c r="E10" s="18">
        <v>1559550</v>
      </c>
      <c r="F10" s="13">
        <v>8.06</v>
      </c>
      <c r="G10" s="18">
        <v>27826000</v>
      </c>
      <c r="H10" s="19">
        <v>1763000</v>
      </c>
      <c r="I10" s="19">
        <v>18442000</v>
      </c>
      <c r="J10" s="19">
        <v>7351000</v>
      </c>
      <c r="K10" s="19"/>
      <c r="L10" s="13"/>
    </row>
    <row r="11" spans="1:12" s="4" customFormat="1" x14ac:dyDescent="0.35">
      <c r="A11" s="2" t="s">
        <v>6</v>
      </c>
      <c r="B11" s="3" t="s">
        <v>8</v>
      </c>
      <c r="C11" s="3" t="s">
        <v>41</v>
      </c>
      <c r="D11" s="3">
        <v>2007</v>
      </c>
      <c r="E11" s="18">
        <v>1456484</v>
      </c>
      <c r="F11" s="13">
        <v>9.5299999999999994</v>
      </c>
      <c r="G11" s="18">
        <v>28152000</v>
      </c>
      <c r="H11" s="19">
        <v>1934000</v>
      </c>
      <c r="I11" s="19">
        <v>13944000</v>
      </c>
      <c r="J11" s="19">
        <v>5124000</v>
      </c>
      <c r="K11" s="19"/>
      <c r="L11" s="13">
        <v>0.16</v>
      </c>
    </row>
    <row r="12" spans="1:12" s="4" customFormat="1" x14ac:dyDescent="0.35">
      <c r="A12" s="2" t="s">
        <v>6</v>
      </c>
      <c r="B12" s="3" t="s">
        <v>8</v>
      </c>
      <c r="C12" s="3" t="s">
        <v>41</v>
      </c>
      <c r="D12" s="3">
        <v>2008</v>
      </c>
      <c r="E12" s="18">
        <v>1176685</v>
      </c>
      <c r="F12" s="13">
        <v>8.7899999999999991</v>
      </c>
      <c r="G12" s="18">
        <v>25781168.350000001</v>
      </c>
      <c r="H12" s="19">
        <v>1902000</v>
      </c>
      <c r="I12" s="19">
        <v>13603000</v>
      </c>
      <c r="J12" s="19">
        <v>4778000</v>
      </c>
      <c r="K12" s="19"/>
      <c r="L12" s="13">
        <v>0.18</v>
      </c>
    </row>
    <row r="13" spans="1:12" s="4" customFormat="1" x14ac:dyDescent="0.35">
      <c r="A13" s="2" t="s">
        <v>6</v>
      </c>
      <c r="B13" s="3" t="s">
        <v>8</v>
      </c>
      <c r="C13" s="3" t="s">
        <v>41</v>
      </c>
      <c r="D13" s="3">
        <v>2009</v>
      </c>
      <c r="E13" s="18">
        <v>1181214</v>
      </c>
      <c r="F13" s="13">
        <v>9.2680000000000007</v>
      </c>
      <c r="G13" s="18">
        <v>27947523.239999998</v>
      </c>
      <c r="H13" s="19">
        <v>1997000</v>
      </c>
      <c r="I13" s="19">
        <v>13933000</v>
      </c>
      <c r="J13" s="19">
        <v>4468000</v>
      </c>
      <c r="K13" s="19"/>
      <c r="L13" s="13">
        <v>0.23</v>
      </c>
    </row>
    <row r="14" spans="1:12" s="4" customFormat="1" x14ac:dyDescent="0.35">
      <c r="A14" s="2" t="s">
        <v>6</v>
      </c>
      <c r="B14" s="3" t="s">
        <v>8</v>
      </c>
      <c r="C14" s="3" t="s">
        <v>41</v>
      </c>
      <c r="D14" s="3">
        <v>2010</v>
      </c>
      <c r="E14" s="18">
        <v>1230000</v>
      </c>
      <c r="F14" s="13">
        <v>9.9450000000000003</v>
      </c>
      <c r="G14" s="18">
        <v>29530000</v>
      </c>
      <c r="H14" s="19">
        <v>2148000</v>
      </c>
      <c r="I14" s="19">
        <v>14725000</v>
      </c>
      <c r="J14" s="19">
        <v>4723000</v>
      </c>
      <c r="K14" s="19">
        <v>288000</v>
      </c>
      <c r="L14" s="13">
        <v>0.28999999999999998</v>
      </c>
    </row>
    <row r="15" spans="1:12" s="4" customFormat="1" x14ac:dyDescent="0.35">
      <c r="A15" s="2" t="s">
        <v>6</v>
      </c>
      <c r="B15" s="3" t="s">
        <v>8</v>
      </c>
      <c r="C15" s="3" t="s">
        <v>41</v>
      </c>
      <c r="D15" s="3">
        <v>2011</v>
      </c>
      <c r="E15" s="19">
        <v>1171000</v>
      </c>
      <c r="F15" s="13">
        <v>10.41</v>
      </c>
      <c r="G15" s="19">
        <v>30271000</v>
      </c>
      <c r="H15" s="19">
        <v>2144000</v>
      </c>
      <c r="I15" s="19">
        <v>14980000</v>
      </c>
      <c r="J15" s="19">
        <v>4489000</v>
      </c>
      <c r="K15" s="19">
        <v>245000</v>
      </c>
      <c r="L15" s="13">
        <v>0.4</v>
      </c>
    </row>
    <row r="16" spans="1:12" s="4" customFormat="1" x14ac:dyDescent="0.35">
      <c r="A16" s="2" t="str">
        <f>A15</f>
        <v>AEX</v>
      </c>
      <c r="B16" s="5" t="str">
        <f>B15</f>
        <v>Ahold</v>
      </c>
      <c r="C16" s="5" t="s">
        <v>41</v>
      </c>
      <c r="D16" s="6">
        <f>D15+1</f>
        <v>2012</v>
      </c>
      <c r="E16" s="19"/>
      <c r="F16" s="13"/>
      <c r="G16" s="19"/>
      <c r="H16" s="19"/>
      <c r="I16" s="19"/>
      <c r="J16" s="19"/>
      <c r="K16" s="19"/>
      <c r="L16" s="13"/>
    </row>
    <row r="17" spans="1:14" s="4" customFormat="1" x14ac:dyDescent="0.35">
      <c r="A17" s="2" t="str">
        <f>A16</f>
        <v>AEX</v>
      </c>
      <c r="B17" s="5" t="str">
        <f>B16</f>
        <v>Ahold</v>
      </c>
      <c r="C17" s="5" t="s">
        <v>41</v>
      </c>
      <c r="D17" s="6">
        <f>D16+1</f>
        <v>2013</v>
      </c>
      <c r="E17" s="19"/>
      <c r="F17" s="13"/>
      <c r="G17" s="19"/>
      <c r="H17" s="19"/>
      <c r="I17" s="19"/>
      <c r="J17" s="19"/>
      <c r="K17" s="19"/>
      <c r="L17" s="13"/>
    </row>
    <row r="18" spans="1:14" x14ac:dyDescent="0.35">
      <c r="A18" s="2" t="s">
        <v>6</v>
      </c>
      <c r="B18" s="3" t="s">
        <v>25</v>
      </c>
      <c r="C18" s="3" t="s">
        <v>42</v>
      </c>
      <c r="D18" s="3">
        <v>2006</v>
      </c>
      <c r="E18" s="18">
        <v>296183</v>
      </c>
      <c r="F18" s="13">
        <v>34.19</v>
      </c>
      <c r="G18" s="18">
        <v>21448000</v>
      </c>
      <c r="H18" s="19">
        <v>2968000</v>
      </c>
      <c r="I18" s="19">
        <v>26479000</v>
      </c>
      <c r="J18" s="19">
        <v>10535000</v>
      </c>
      <c r="K18" s="19"/>
      <c r="L18" s="13"/>
      <c r="N18" s="4"/>
    </row>
    <row r="19" spans="1:14" x14ac:dyDescent="0.35">
      <c r="A19" s="2" t="s">
        <v>6</v>
      </c>
      <c r="B19" s="3" t="s">
        <v>25</v>
      </c>
      <c r="C19" s="3" t="s">
        <v>42</v>
      </c>
      <c r="D19" s="3">
        <v>2007</v>
      </c>
      <c r="E19" s="18">
        <v>307766</v>
      </c>
      <c r="F19" s="13">
        <v>24.2</v>
      </c>
      <c r="G19" s="18">
        <v>23073000</v>
      </c>
      <c r="H19" s="19">
        <v>3218000</v>
      </c>
      <c r="I19" s="19">
        <v>26670000</v>
      </c>
      <c r="J19" s="19">
        <v>10098000</v>
      </c>
      <c r="K19" s="19"/>
      <c r="L19" s="13">
        <v>0.5</v>
      </c>
      <c r="N19" s="4"/>
    </row>
    <row r="20" spans="1:14" x14ac:dyDescent="0.35">
      <c r="A20" s="2" t="s">
        <v>6</v>
      </c>
      <c r="B20" s="3" t="s">
        <v>25</v>
      </c>
      <c r="C20" s="3" t="s">
        <v>42</v>
      </c>
      <c r="D20" s="3">
        <v>2008</v>
      </c>
      <c r="E20" s="18">
        <v>300219</v>
      </c>
      <c r="F20" s="13">
        <v>9</v>
      </c>
      <c r="G20" s="18">
        <v>24123000</v>
      </c>
      <c r="H20" s="19">
        <f>24123000-14930000-7317000</f>
        <v>1876000</v>
      </c>
      <c r="I20" s="19">
        <v>30690000</v>
      </c>
      <c r="J20" s="19">
        <v>10588000</v>
      </c>
      <c r="K20" s="19"/>
      <c r="L20" s="13">
        <v>0.57999999999999996</v>
      </c>
      <c r="N20" s="4"/>
    </row>
    <row r="21" spans="1:14" x14ac:dyDescent="0.35">
      <c r="A21" s="2" t="s">
        <v>6</v>
      </c>
      <c r="B21" s="3" t="s">
        <v>25</v>
      </c>
      <c r="C21" s="3" t="s">
        <v>42</v>
      </c>
      <c r="D21" s="3">
        <v>2009</v>
      </c>
      <c r="E21" s="18">
        <v>300219</v>
      </c>
      <c r="F21" s="13">
        <v>10.914999999999999</v>
      </c>
      <c r="G21" s="18">
        <v>23975000</v>
      </c>
      <c r="H21" s="19">
        <v>368000</v>
      </c>
      <c r="I21" s="19">
        <v>28773000</v>
      </c>
      <c r="J21" s="19">
        <v>11707000</v>
      </c>
      <c r="K21" s="19"/>
      <c r="L21" s="13">
        <v>0</v>
      </c>
      <c r="N21" s="4"/>
    </row>
    <row r="22" spans="1:14" x14ac:dyDescent="0.35">
      <c r="A22" s="2" t="s">
        <v>6</v>
      </c>
      <c r="B22" s="3" t="s">
        <v>25</v>
      </c>
      <c r="C22" s="3" t="s">
        <v>42</v>
      </c>
      <c r="D22" s="3">
        <v>2010</v>
      </c>
      <c r="E22" s="18">
        <v>300219</v>
      </c>
      <c r="F22" s="13">
        <v>13.96</v>
      </c>
      <c r="G22" s="18">
        <v>23620000</v>
      </c>
      <c r="H22" s="19">
        <v>1728000</v>
      </c>
      <c r="I22" s="19">
        <v>27775000</v>
      </c>
      <c r="J22" s="19">
        <v>11890000</v>
      </c>
      <c r="K22" s="19">
        <v>455000</v>
      </c>
      <c r="L22" s="13">
        <v>0</v>
      </c>
      <c r="N22" s="4"/>
    </row>
    <row r="23" spans="1:14" x14ac:dyDescent="0.35">
      <c r="A23" s="2" t="s">
        <v>6</v>
      </c>
      <c r="B23" s="3" t="s">
        <v>25</v>
      </c>
      <c r="C23" s="3" t="s">
        <v>42</v>
      </c>
      <c r="D23" s="3">
        <v>2011</v>
      </c>
      <c r="E23" s="19">
        <v>300219</v>
      </c>
      <c r="F23" s="13">
        <v>4.26</v>
      </c>
      <c r="G23" s="20">
        <v>24402000</v>
      </c>
      <c r="H23" s="19">
        <v>1535000</v>
      </c>
      <c r="I23" s="19">
        <v>27317000</v>
      </c>
      <c r="J23" s="19">
        <v>12076000</v>
      </c>
      <c r="K23" s="19">
        <v>463000</v>
      </c>
      <c r="L23" s="13">
        <v>0</v>
      </c>
      <c r="N23" s="4"/>
    </row>
    <row r="24" spans="1:14" x14ac:dyDescent="0.35">
      <c r="A24" s="2" t="str">
        <f>A23</f>
        <v>AEX</v>
      </c>
      <c r="B24" s="5" t="str">
        <f>B23</f>
        <v>Air France - KLM</v>
      </c>
      <c r="C24" s="5" t="s">
        <v>42</v>
      </c>
      <c r="D24" s="6">
        <f>D23+1</f>
        <v>2012</v>
      </c>
      <c r="E24" s="19"/>
      <c r="G24" s="20"/>
      <c r="H24" s="19"/>
      <c r="I24" s="19"/>
      <c r="J24" s="19"/>
      <c r="K24" s="19"/>
      <c r="L24" s="13"/>
      <c r="N24" s="4"/>
    </row>
    <row r="25" spans="1:14" x14ac:dyDescent="0.35">
      <c r="A25" s="2" t="str">
        <f>A24</f>
        <v>AEX</v>
      </c>
      <c r="B25" s="5" t="str">
        <f>B24</f>
        <v>Air France - KLM</v>
      </c>
      <c r="C25" s="5" t="s">
        <v>42</v>
      </c>
      <c r="D25" s="6">
        <f>D24+1</f>
        <v>2013</v>
      </c>
      <c r="E25" s="19"/>
      <c r="G25" s="20"/>
      <c r="H25" s="19"/>
      <c r="I25" s="19"/>
      <c r="J25" s="19"/>
      <c r="K25" s="19"/>
      <c r="L25" s="13"/>
      <c r="N25" s="4"/>
    </row>
    <row r="26" spans="1:14" x14ac:dyDescent="0.35">
      <c r="A26" s="2" t="s">
        <v>6</v>
      </c>
      <c r="B26" s="3" t="s">
        <v>26</v>
      </c>
      <c r="C26" s="3" t="s">
        <v>43</v>
      </c>
      <c r="D26" s="3">
        <v>2006</v>
      </c>
      <c r="E26" s="18">
        <v>288430</v>
      </c>
      <c r="F26" s="13">
        <v>46.21</v>
      </c>
      <c r="G26" s="18">
        <v>10023000</v>
      </c>
      <c r="H26" s="19">
        <v>1230000</v>
      </c>
      <c r="I26" s="19">
        <v>12785000</v>
      </c>
      <c r="J26" s="19">
        <v>4564000</v>
      </c>
      <c r="K26" s="19">
        <v>134000</v>
      </c>
      <c r="L26" s="13">
        <v>1.2</v>
      </c>
      <c r="N26" s="4"/>
    </row>
    <row r="27" spans="1:14" x14ac:dyDescent="0.35">
      <c r="A27" s="2" t="s">
        <v>6</v>
      </c>
      <c r="B27" s="3" t="s">
        <v>26</v>
      </c>
      <c r="C27" s="3" t="s">
        <v>43</v>
      </c>
      <c r="D27" s="3">
        <v>2007</v>
      </c>
      <c r="E27" s="18">
        <v>278070</v>
      </c>
      <c r="F27" s="13">
        <v>54.79</v>
      </c>
      <c r="G27" s="18">
        <v>10217000</v>
      </c>
      <c r="H27" s="19">
        <v>1102000</v>
      </c>
      <c r="I27" s="19">
        <v>19243000</v>
      </c>
      <c r="J27" s="19">
        <v>3685000</v>
      </c>
      <c r="K27" s="19">
        <v>151000</v>
      </c>
      <c r="L27" s="13">
        <v>1.8</v>
      </c>
      <c r="N27" s="4"/>
    </row>
    <row r="28" spans="1:14" x14ac:dyDescent="0.35">
      <c r="A28" s="2" t="s">
        <v>6</v>
      </c>
      <c r="B28" s="3" t="s">
        <v>26</v>
      </c>
      <c r="C28" s="3" t="s">
        <v>43</v>
      </c>
      <c r="D28" s="3">
        <v>2008</v>
      </c>
      <c r="E28" s="18">
        <v>231664</v>
      </c>
      <c r="F28" s="13">
        <v>29.44</v>
      </c>
      <c r="G28" s="18">
        <v>15415000</v>
      </c>
      <c r="H28" s="19">
        <v>1927000</v>
      </c>
      <c r="I28" s="19">
        <v>18734000</v>
      </c>
      <c r="J28" s="19">
        <v>5128000</v>
      </c>
      <c r="K28" s="19">
        <v>232000</v>
      </c>
      <c r="L28" s="13">
        <v>1.8</v>
      </c>
      <c r="N28" s="4"/>
    </row>
    <row r="29" spans="1:14" x14ac:dyDescent="0.35">
      <c r="A29" s="2" t="s">
        <v>6</v>
      </c>
      <c r="B29" s="3" t="s">
        <v>26</v>
      </c>
      <c r="C29" s="3" t="s">
        <v>43</v>
      </c>
      <c r="D29" s="3">
        <v>2009</v>
      </c>
      <c r="E29" s="18">
        <v>232253</v>
      </c>
      <c r="F29" s="13">
        <v>46.4</v>
      </c>
      <c r="G29" s="18">
        <v>13893000</v>
      </c>
      <c r="H29" s="21">
        <v>1690000</v>
      </c>
      <c r="I29" s="21">
        <v>18880000</v>
      </c>
      <c r="J29" s="21">
        <v>6081000</v>
      </c>
      <c r="K29" s="19">
        <v>405000</v>
      </c>
      <c r="L29" s="13">
        <v>1.3560000000000001</v>
      </c>
      <c r="N29" s="4"/>
    </row>
    <row r="30" spans="1:14" x14ac:dyDescent="0.35">
      <c r="A30" s="2" t="s">
        <v>6</v>
      </c>
      <c r="B30" s="3" t="s">
        <v>26</v>
      </c>
      <c r="C30" s="3" t="s">
        <v>43</v>
      </c>
      <c r="D30" s="3">
        <v>2010</v>
      </c>
      <c r="E30" s="18">
        <v>232000</v>
      </c>
      <c r="F30" s="13">
        <v>46.49</v>
      </c>
      <c r="G30" s="18">
        <v>14640000</v>
      </c>
      <c r="H30" s="21">
        <v>1964000</v>
      </c>
      <c r="I30" s="21">
        <v>20094000</v>
      </c>
      <c r="J30" s="21">
        <v>5324000</v>
      </c>
      <c r="K30" s="21">
        <v>327000</v>
      </c>
      <c r="L30" s="13">
        <v>1.4</v>
      </c>
      <c r="N30" s="4"/>
    </row>
    <row r="31" spans="1:14" x14ac:dyDescent="0.35">
      <c r="A31" s="2" t="s">
        <v>6</v>
      </c>
      <c r="B31" s="3" t="s">
        <v>26</v>
      </c>
      <c r="C31" s="3" t="s">
        <v>43</v>
      </c>
      <c r="D31" s="3">
        <v>2011</v>
      </c>
      <c r="E31" s="19">
        <v>234700</v>
      </c>
      <c r="F31" s="13">
        <v>37.36</v>
      </c>
      <c r="G31" s="19">
        <v>15697000</v>
      </c>
      <c r="H31" s="21">
        <v>2119000</v>
      </c>
      <c r="I31" s="21">
        <v>19869000</v>
      </c>
      <c r="J31" s="21">
        <v>3035000</v>
      </c>
      <c r="K31" s="21">
        <v>395000</v>
      </c>
      <c r="L31" s="13">
        <v>1.54</v>
      </c>
      <c r="N31" s="4"/>
    </row>
    <row r="32" spans="1:14" x14ac:dyDescent="0.35">
      <c r="A32" s="2" t="str">
        <f>A31</f>
        <v>AEX</v>
      </c>
      <c r="B32" s="5" t="str">
        <f>B31</f>
        <v>Akzo Nobel</v>
      </c>
      <c r="C32" s="5" t="s">
        <v>43</v>
      </c>
      <c r="D32" s="6">
        <f>D31+1</f>
        <v>2012</v>
      </c>
      <c r="E32" s="19"/>
      <c r="G32" s="19"/>
      <c r="H32" s="21"/>
      <c r="I32" s="21"/>
      <c r="J32" s="21"/>
      <c r="K32" s="21"/>
      <c r="L32" s="13"/>
      <c r="N32" s="4"/>
    </row>
    <row r="33" spans="1:14" x14ac:dyDescent="0.35">
      <c r="A33" s="2" t="str">
        <f>A32</f>
        <v>AEX</v>
      </c>
      <c r="B33" s="5" t="str">
        <f>B32</f>
        <v>Akzo Nobel</v>
      </c>
      <c r="C33" s="5" t="s">
        <v>43</v>
      </c>
      <c r="D33" s="6">
        <f>D32+1</f>
        <v>2013</v>
      </c>
      <c r="E33" s="19"/>
      <c r="G33" s="19"/>
      <c r="H33" s="21"/>
      <c r="I33" s="21"/>
      <c r="J33" s="21"/>
      <c r="K33" s="21"/>
      <c r="L33" s="13"/>
      <c r="N33" s="4"/>
    </row>
    <row r="34" spans="1:14" x14ac:dyDescent="0.35">
      <c r="A34" s="2" t="s">
        <v>6</v>
      </c>
      <c r="B34" s="3" t="s">
        <v>9</v>
      </c>
      <c r="C34" s="3" t="s">
        <v>44</v>
      </c>
      <c r="D34" s="3">
        <v>2006</v>
      </c>
      <c r="E34" s="21"/>
      <c r="G34" s="19"/>
      <c r="H34" s="21"/>
      <c r="I34" s="21"/>
      <c r="J34" s="21"/>
      <c r="K34" s="21"/>
      <c r="L34" s="13"/>
      <c r="N34" s="4"/>
    </row>
    <row r="35" spans="1:14" x14ac:dyDescent="0.35">
      <c r="A35" s="2" t="s">
        <v>6</v>
      </c>
      <c r="B35" s="3" t="s">
        <v>9</v>
      </c>
      <c r="C35" s="3" t="s">
        <v>44</v>
      </c>
      <c r="D35" s="3">
        <v>2007</v>
      </c>
      <c r="E35" s="21">
        <v>78046</v>
      </c>
      <c r="G35" s="19">
        <v>6274000</v>
      </c>
      <c r="H35" s="21"/>
      <c r="I35" s="21"/>
      <c r="J35" s="21"/>
      <c r="K35" s="21"/>
      <c r="L35" s="13"/>
      <c r="N35" s="4"/>
    </row>
    <row r="36" spans="1:14" x14ac:dyDescent="0.35">
      <c r="A36" s="2" t="s">
        <v>6</v>
      </c>
      <c r="B36" s="3" t="s">
        <v>9</v>
      </c>
      <c r="C36" s="3" t="s">
        <v>44</v>
      </c>
      <c r="D36" s="3">
        <v>2008</v>
      </c>
      <c r="E36" s="21">
        <v>78046</v>
      </c>
      <c r="G36" s="19">
        <v>5688810</v>
      </c>
      <c r="H36" s="19"/>
      <c r="I36" s="19">
        <f>7340000/1.33</f>
        <v>5518796.9924812028</v>
      </c>
      <c r="J36" s="19">
        <f>1206000/1.33</f>
        <v>906766.91729323298</v>
      </c>
      <c r="K36" s="19"/>
      <c r="L36" s="13"/>
      <c r="N36" s="4"/>
    </row>
    <row r="37" spans="1:14" x14ac:dyDescent="0.35">
      <c r="A37" s="2" t="s">
        <v>6</v>
      </c>
      <c r="B37" s="3" t="s">
        <v>9</v>
      </c>
      <c r="C37" s="3" t="s">
        <v>44</v>
      </c>
      <c r="D37" s="3">
        <v>2009</v>
      </c>
      <c r="E37" s="21">
        <v>78046</v>
      </c>
      <c r="G37" s="19">
        <v>2939000</v>
      </c>
      <c r="H37" s="19">
        <v>226000</v>
      </c>
      <c r="I37" s="19">
        <f>7133000/1.43</f>
        <v>4988111.8881118884</v>
      </c>
      <c r="J37" s="19">
        <f>1375000/1.43</f>
        <v>961538.46153846162</v>
      </c>
      <c r="K37" s="19"/>
      <c r="L37" s="13"/>
      <c r="N37" s="4"/>
    </row>
    <row r="38" spans="1:14" x14ac:dyDescent="0.35">
      <c r="A38" s="2" t="s">
        <v>6</v>
      </c>
      <c r="B38" s="3" t="s">
        <v>9</v>
      </c>
      <c r="C38" s="3" t="s">
        <v>44</v>
      </c>
      <c r="D38" s="3">
        <v>2010</v>
      </c>
      <c r="E38" s="21">
        <v>78046</v>
      </c>
      <c r="F38" s="13">
        <v>30</v>
      </c>
      <c r="G38" s="19">
        <v>4193000</v>
      </c>
      <c r="H38" s="19">
        <f>410000/1.35</f>
        <v>303703.70370370371</v>
      </c>
      <c r="I38" s="19">
        <f>7335000/1.33</f>
        <v>5515037.5939849624</v>
      </c>
      <c r="J38" s="19">
        <f>932000/1.33</f>
        <v>700751.87969924812</v>
      </c>
      <c r="K38" s="19"/>
      <c r="L38" s="13"/>
      <c r="N38" s="4"/>
    </row>
    <row r="39" spans="1:14" x14ac:dyDescent="0.35">
      <c r="A39" s="2" t="s">
        <v>6</v>
      </c>
      <c r="B39" s="3" t="s">
        <v>9</v>
      </c>
      <c r="C39" s="3" t="s">
        <v>44</v>
      </c>
      <c r="D39" s="3">
        <v>2011</v>
      </c>
      <c r="E39" s="19">
        <v>78050</v>
      </c>
      <c r="F39" s="13">
        <v>10.9</v>
      </c>
      <c r="G39" s="19">
        <v>4702000</v>
      </c>
      <c r="H39" s="19"/>
      <c r="I39" s="19"/>
      <c r="J39" s="19"/>
      <c r="K39" s="19"/>
      <c r="L39" s="13"/>
      <c r="N39" s="4"/>
    </row>
    <row r="40" spans="1:14" x14ac:dyDescent="0.35">
      <c r="A40" s="2" t="str">
        <f>A39</f>
        <v>AEX</v>
      </c>
      <c r="B40" s="5" t="str">
        <f>B39</f>
        <v>Aperam</v>
      </c>
      <c r="C40" s="5" t="s">
        <v>44</v>
      </c>
      <c r="D40" s="6">
        <f>D39+1</f>
        <v>2012</v>
      </c>
      <c r="E40" s="19"/>
      <c r="G40" s="19"/>
      <c r="H40" s="19"/>
      <c r="I40" s="19"/>
      <c r="J40" s="19"/>
      <c r="K40" s="19"/>
      <c r="L40" s="13"/>
      <c r="N40" s="4"/>
    </row>
    <row r="41" spans="1:14" x14ac:dyDescent="0.35">
      <c r="A41" s="2" t="str">
        <f>A40</f>
        <v>AEX</v>
      </c>
      <c r="B41" s="5" t="str">
        <f>B40</f>
        <v>Aperam</v>
      </c>
      <c r="C41" s="5" t="s">
        <v>44</v>
      </c>
      <c r="D41" s="6">
        <f>D40+1</f>
        <v>2013</v>
      </c>
      <c r="E41" s="19"/>
      <c r="G41" s="19"/>
      <c r="H41" s="19"/>
      <c r="I41" s="19"/>
      <c r="J41" s="19"/>
      <c r="K41" s="19"/>
      <c r="L41" s="13"/>
      <c r="N41" s="4"/>
    </row>
    <row r="42" spans="1:14" x14ac:dyDescent="0.35">
      <c r="A42" s="2" t="s">
        <v>6</v>
      </c>
      <c r="B42" s="3" t="s">
        <v>27</v>
      </c>
      <c r="C42" s="3" t="s">
        <v>44</v>
      </c>
      <c r="D42" s="3">
        <v>2006</v>
      </c>
      <c r="E42" s="18">
        <v>988000</v>
      </c>
      <c r="F42" s="13">
        <v>31.97</v>
      </c>
      <c r="G42" s="18">
        <v>40178000</v>
      </c>
      <c r="H42" s="19">
        <f>7532000/1.47</f>
        <v>5123809.5238095243</v>
      </c>
      <c r="I42" s="19">
        <f>112681000/1.47</f>
        <v>76653741.496598646</v>
      </c>
      <c r="J42" s="19">
        <f>37893000/1.47</f>
        <v>25777551.020408165</v>
      </c>
      <c r="K42" s="19"/>
      <c r="L42" s="13"/>
      <c r="N42" s="4"/>
    </row>
    <row r="43" spans="1:14" x14ac:dyDescent="0.35">
      <c r="A43" s="2" t="s">
        <v>6</v>
      </c>
      <c r="B43" s="3" t="s">
        <v>27</v>
      </c>
      <c r="C43" s="3" t="s">
        <v>44</v>
      </c>
      <c r="D43" s="3">
        <v>2007</v>
      </c>
      <c r="E43" s="18">
        <v>1400999</v>
      </c>
      <c r="F43" s="13">
        <v>53.02</v>
      </c>
      <c r="G43" s="18">
        <v>72073000</v>
      </c>
      <c r="H43" s="19">
        <f>14830000/1.47</f>
        <v>10088435.37414966</v>
      </c>
      <c r="I43" s="19">
        <f>133625000/1.47</f>
        <v>90901360.544217691</v>
      </c>
      <c r="J43" s="19">
        <f>39881000/1.47</f>
        <v>27129931.972789116</v>
      </c>
      <c r="K43" s="19"/>
      <c r="L43" s="13"/>
      <c r="N43" s="4"/>
    </row>
    <row r="44" spans="1:14" x14ac:dyDescent="0.35">
      <c r="A44" s="2" t="s">
        <v>6</v>
      </c>
      <c r="B44" s="3" t="s">
        <v>27</v>
      </c>
      <c r="C44" s="3" t="s">
        <v>44</v>
      </c>
      <c r="D44" s="3">
        <v>2008</v>
      </c>
      <c r="E44" s="18">
        <v>1366002</v>
      </c>
      <c r="F44" s="13">
        <v>17</v>
      </c>
      <c r="G44" s="18">
        <v>83968142.939999998</v>
      </c>
      <c r="H44" s="19">
        <f>12325000/1.45</f>
        <v>8500000</v>
      </c>
      <c r="I44" s="19">
        <f>133155000/1.45</f>
        <v>91831034.482758626</v>
      </c>
      <c r="J44" s="19">
        <f>43255000/1.45</f>
        <v>29831034.482758623</v>
      </c>
      <c r="K44" s="19"/>
      <c r="L44" s="13"/>
      <c r="N44" s="4"/>
    </row>
    <row r="45" spans="1:14" x14ac:dyDescent="0.35">
      <c r="A45" s="2" t="s">
        <v>6</v>
      </c>
      <c r="B45" s="3" t="s">
        <v>27</v>
      </c>
      <c r="C45" s="3" t="s">
        <v>44</v>
      </c>
      <c r="D45" s="3">
        <v>2009</v>
      </c>
      <c r="E45" s="18">
        <v>1509542</v>
      </c>
      <c r="F45" s="13">
        <v>32.18</v>
      </c>
      <c r="G45" s="18">
        <v>48758206.599999994</v>
      </c>
      <c r="H45" s="19">
        <f>-1678000/1.45</f>
        <v>-1157241.3793103448</v>
      </c>
      <c r="I45" s="19">
        <f>127697000/1.45</f>
        <v>88066896.551724136</v>
      </c>
      <c r="J45" s="19">
        <f>38769000/1.45</f>
        <v>26737241.379310347</v>
      </c>
      <c r="K45" s="19"/>
      <c r="L45" s="13"/>
      <c r="N45" s="4"/>
    </row>
    <row r="46" spans="1:14" x14ac:dyDescent="0.35">
      <c r="A46" s="2" t="s">
        <v>6</v>
      </c>
      <c r="B46" s="3" t="s">
        <v>27</v>
      </c>
      <c r="C46" s="3" t="s">
        <v>44</v>
      </c>
      <c r="D46" s="3">
        <v>2010</v>
      </c>
      <c r="E46" s="18">
        <v>1600000</v>
      </c>
      <c r="F46" s="13">
        <v>28.51</v>
      </c>
      <c r="G46" s="18">
        <v>58754000</v>
      </c>
      <c r="H46" s="19">
        <f>8525000/1.33</f>
        <v>6409774.4360902254</v>
      </c>
      <c r="I46" s="19">
        <f>130904000/1.33</f>
        <v>98424060.150375932</v>
      </c>
      <c r="J46" s="19">
        <f>34081000/1.33</f>
        <v>25624812.030075185</v>
      </c>
      <c r="K46" s="19">
        <v>2200000</v>
      </c>
      <c r="L46" s="13">
        <v>0.75</v>
      </c>
      <c r="N46" s="4"/>
    </row>
    <row r="47" spans="1:14" x14ac:dyDescent="0.35">
      <c r="A47" s="2" t="s">
        <v>6</v>
      </c>
      <c r="B47" s="3" t="s">
        <v>27</v>
      </c>
      <c r="C47" s="3" t="s">
        <v>44</v>
      </c>
      <c r="D47" s="3">
        <v>2011</v>
      </c>
      <c r="E47" s="19">
        <v>1549000</v>
      </c>
      <c r="F47" s="13">
        <v>14.13</v>
      </c>
      <c r="G47" s="19">
        <v>69650000</v>
      </c>
      <c r="H47" s="19">
        <f>9567000/1.3</f>
        <v>7359230.769230769</v>
      </c>
      <c r="I47" s="19">
        <f>121880000/1.3</f>
        <v>93753846.153846145</v>
      </c>
      <c r="J47" s="19">
        <f>37579000/1.3</f>
        <v>28906923.076923076</v>
      </c>
      <c r="K47" s="19">
        <v>2838000</v>
      </c>
      <c r="L47" s="13">
        <v>0.75</v>
      </c>
      <c r="N47" s="4"/>
    </row>
    <row r="48" spans="1:14" x14ac:dyDescent="0.35">
      <c r="A48" s="2" t="str">
        <f>A47</f>
        <v>AEX</v>
      </c>
      <c r="B48" s="5" t="str">
        <f>B47</f>
        <v>ArcelorMittal</v>
      </c>
      <c r="C48" s="5" t="s">
        <v>44</v>
      </c>
      <c r="D48" s="6">
        <f>D47+1</f>
        <v>2012</v>
      </c>
      <c r="E48" s="19"/>
      <c r="G48" s="19"/>
      <c r="H48" s="19"/>
      <c r="I48" s="19"/>
      <c r="J48" s="19"/>
      <c r="K48" s="19"/>
      <c r="L48" s="13"/>
      <c r="N48" s="4"/>
    </row>
    <row r="49" spans="1:14" x14ac:dyDescent="0.35">
      <c r="A49" s="2" t="str">
        <f>A48</f>
        <v>AEX</v>
      </c>
      <c r="B49" s="5" t="str">
        <f>B48</f>
        <v>ArcelorMittal</v>
      </c>
      <c r="C49" s="5" t="s">
        <v>44</v>
      </c>
      <c r="D49" s="6">
        <f>D48+1</f>
        <v>2013</v>
      </c>
      <c r="E49" s="19"/>
      <c r="G49" s="19"/>
      <c r="H49" s="19"/>
      <c r="I49" s="19"/>
      <c r="J49" s="19"/>
      <c r="K49" s="19"/>
      <c r="L49" s="13"/>
      <c r="N49" s="4"/>
    </row>
    <row r="50" spans="1:14" x14ac:dyDescent="0.35">
      <c r="A50" s="2" t="s">
        <v>6</v>
      </c>
      <c r="B50" s="3" t="s">
        <v>28</v>
      </c>
      <c r="C50" s="3" t="s">
        <v>23</v>
      </c>
      <c r="D50" s="3">
        <v>2006</v>
      </c>
      <c r="E50" s="18">
        <v>503983</v>
      </c>
      <c r="F50" s="13">
        <v>19.34</v>
      </c>
      <c r="G50" s="18">
        <v>3581800</v>
      </c>
      <c r="H50" s="19">
        <v>955210</v>
      </c>
      <c r="I50" s="19">
        <v>3997000</v>
      </c>
      <c r="J50" s="19">
        <v>425000</v>
      </c>
      <c r="K50" s="19"/>
      <c r="L50" s="13"/>
      <c r="N50" s="4"/>
    </row>
    <row r="51" spans="1:14" x14ac:dyDescent="0.35">
      <c r="A51" s="2" t="s">
        <v>6</v>
      </c>
      <c r="B51" s="3" t="s">
        <v>28</v>
      </c>
      <c r="C51" s="3" t="s">
        <v>23</v>
      </c>
      <c r="D51" s="3">
        <v>2007</v>
      </c>
      <c r="E51" s="18">
        <v>485643</v>
      </c>
      <c r="F51" s="13">
        <v>21.66</v>
      </c>
      <c r="G51" s="18">
        <v>3768200</v>
      </c>
      <c r="H51" s="19">
        <v>946364</v>
      </c>
      <c r="I51" s="19">
        <v>4113000</v>
      </c>
      <c r="J51" s="19">
        <v>642000</v>
      </c>
      <c r="K51" s="19"/>
      <c r="L51" s="13">
        <v>0.25</v>
      </c>
      <c r="N51" s="4"/>
    </row>
    <row r="52" spans="1:14" x14ac:dyDescent="0.35">
      <c r="A52" s="2" t="s">
        <v>6</v>
      </c>
      <c r="B52" s="3" t="s">
        <v>28</v>
      </c>
      <c r="C52" s="3" t="s">
        <v>23</v>
      </c>
      <c r="D52" s="3">
        <v>2008</v>
      </c>
      <c r="E52" s="18">
        <v>432074</v>
      </c>
      <c r="F52" s="13">
        <v>12.75</v>
      </c>
      <c r="G52" s="18">
        <v>2955386.16</v>
      </c>
      <c r="H52" s="19">
        <v>410637</v>
      </c>
      <c r="I52" s="19">
        <v>3977000</v>
      </c>
      <c r="J52" s="19">
        <v>685000</v>
      </c>
      <c r="K52" s="19"/>
      <c r="L52" s="13">
        <v>0.25</v>
      </c>
      <c r="N52" s="4"/>
    </row>
    <row r="53" spans="1:14" x14ac:dyDescent="0.35">
      <c r="A53" s="2" t="s">
        <v>6</v>
      </c>
      <c r="B53" s="3" t="s">
        <v>28</v>
      </c>
      <c r="C53" s="3" t="s">
        <v>23</v>
      </c>
      <c r="D53" s="3">
        <v>2009</v>
      </c>
      <c r="E53" s="18">
        <v>433639</v>
      </c>
      <c r="F53" s="13">
        <v>23.5</v>
      </c>
      <c r="G53" s="18">
        <v>1600127.91</v>
      </c>
      <c r="H53" s="19">
        <v>-21494</v>
      </c>
      <c r="I53" s="19">
        <v>3764000</v>
      </c>
      <c r="J53" s="19">
        <v>700000</v>
      </c>
      <c r="K53" s="19"/>
      <c r="L53" s="13">
        <v>0.2</v>
      </c>
      <c r="N53" s="4"/>
    </row>
    <row r="54" spans="1:14" x14ac:dyDescent="0.35">
      <c r="A54" s="2" t="s">
        <v>6</v>
      </c>
      <c r="B54" s="3" t="s">
        <v>28</v>
      </c>
      <c r="C54" s="3" t="s">
        <v>23</v>
      </c>
      <c r="D54" s="3">
        <v>2010</v>
      </c>
      <c r="E54" s="18">
        <v>438974</v>
      </c>
      <c r="F54" s="13">
        <v>28.9</v>
      </c>
      <c r="G54" s="18">
        <v>4507900</v>
      </c>
      <c r="H54" s="19">
        <v>1402143</v>
      </c>
      <c r="I54" s="19">
        <v>6180000</v>
      </c>
      <c r="J54" s="19">
        <v>710000</v>
      </c>
      <c r="K54" s="19">
        <v>27012</v>
      </c>
      <c r="L54" s="13">
        <v>0.4</v>
      </c>
      <c r="N54" s="4"/>
    </row>
    <row r="55" spans="1:14" x14ac:dyDescent="0.35">
      <c r="A55" s="2" t="s">
        <v>6</v>
      </c>
      <c r="B55" s="3" t="s">
        <v>28</v>
      </c>
      <c r="C55" s="3" t="s">
        <v>23</v>
      </c>
      <c r="D55" s="3">
        <v>2011</v>
      </c>
      <c r="E55" s="19">
        <v>425618</v>
      </c>
      <c r="F55" s="13">
        <v>32.479999999999997</v>
      </c>
      <c r="G55" s="21">
        <v>5651000</v>
      </c>
      <c r="H55" s="19">
        <v>1909000</v>
      </c>
      <c r="I55" s="19">
        <v>7559000</v>
      </c>
      <c r="J55" s="19">
        <v>730122</v>
      </c>
      <c r="K55" s="19">
        <v>26361</v>
      </c>
      <c r="L55" s="13">
        <v>0.46</v>
      </c>
      <c r="N55" s="4"/>
    </row>
    <row r="56" spans="1:14" x14ac:dyDescent="0.35">
      <c r="A56" s="2" t="str">
        <f>A55</f>
        <v>AEX</v>
      </c>
      <c r="B56" s="5" t="str">
        <f>B55</f>
        <v>ASML</v>
      </c>
      <c r="C56" s="5" t="s">
        <v>23</v>
      </c>
      <c r="D56" s="6">
        <f>D55+1</f>
        <v>2012</v>
      </c>
      <c r="E56" s="19"/>
      <c r="G56" s="21"/>
      <c r="H56" s="19"/>
      <c r="I56" s="19"/>
      <c r="J56" s="19"/>
      <c r="K56" s="19"/>
      <c r="L56" s="13"/>
      <c r="N56" s="4"/>
    </row>
    <row r="57" spans="1:14" x14ac:dyDescent="0.35">
      <c r="A57" s="2" t="str">
        <f>A56</f>
        <v>AEX</v>
      </c>
      <c r="B57" s="5" t="str">
        <f>B56</f>
        <v>ASML</v>
      </c>
      <c r="C57" s="5" t="s">
        <v>23</v>
      </c>
      <c r="D57" s="6">
        <f>D56+1</f>
        <v>2013</v>
      </c>
      <c r="E57" s="19"/>
      <c r="G57" s="21"/>
      <c r="H57" s="19"/>
      <c r="I57" s="19"/>
      <c r="J57" s="19"/>
      <c r="K57" s="19"/>
      <c r="L57" s="13"/>
      <c r="N57" s="4"/>
    </row>
    <row r="58" spans="1:14" x14ac:dyDescent="0.35">
      <c r="A58" s="2" t="s">
        <v>6</v>
      </c>
      <c r="B58" s="8" t="s">
        <v>10</v>
      </c>
      <c r="C58" s="8" t="s">
        <v>45</v>
      </c>
      <c r="D58" s="3">
        <v>2006</v>
      </c>
      <c r="E58" s="18">
        <v>85799</v>
      </c>
      <c r="F58" s="13">
        <v>25</v>
      </c>
      <c r="G58" s="18">
        <v>1353600</v>
      </c>
      <c r="H58" s="21">
        <f>150261+86582</f>
        <v>236843</v>
      </c>
      <c r="I58" s="21">
        <v>1583909</v>
      </c>
      <c r="J58" s="21">
        <v>118107</v>
      </c>
      <c r="K58" s="21"/>
      <c r="L58" s="13" t="str">
        <f>IF(ISERR(I58/#REF!),"",I58/#REF!)</f>
        <v/>
      </c>
      <c r="N58" s="4"/>
    </row>
    <row r="59" spans="1:14" x14ac:dyDescent="0.35">
      <c r="A59" s="2" t="s">
        <v>6</v>
      </c>
      <c r="B59" s="8" t="s">
        <v>10</v>
      </c>
      <c r="C59" s="8" t="s">
        <v>45</v>
      </c>
      <c r="D59" s="3">
        <v>2007</v>
      </c>
      <c r="E59" s="18">
        <v>85799</v>
      </c>
      <c r="F59" s="13">
        <v>41.66</v>
      </c>
      <c r="G59" s="18">
        <v>1868500</v>
      </c>
      <c r="H59" s="21">
        <v>348100</v>
      </c>
      <c r="I59" s="21">
        <v>2200108</v>
      </c>
      <c r="J59" s="21">
        <v>113959</v>
      </c>
      <c r="K59" s="21"/>
      <c r="L59" s="13">
        <v>1.19</v>
      </c>
      <c r="N59" s="4"/>
    </row>
    <row r="60" spans="1:14" x14ac:dyDescent="0.35">
      <c r="A60" s="2" t="s">
        <v>6</v>
      </c>
      <c r="B60" s="8" t="s">
        <v>10</v>
      </c>
      <c r="C60" s="8" t="s">
        <v>45</v>
      </c>
      <c r="D60" s="3">
        <v>2008</v>
      </c>
      <c r="E60" s="18">
        <v>85799</v>
      </c>
      <c r="F60" s="13">
        <v>16.600000000000001</v>
      </c>
      <c r="G60" s="18">
        <v>2093495.5999999999</v>
      </c>
      <c r="H60" s="21">
        <v>454600</v>
      </c>
      <c r="I60" s="21">
        <v>2551413</v>
      </c>
      <c r="J60" s="21">
        <v>110844</v>
      </c>
      <c r="K60" s="21"/>
      <c r="L60" s="13">
        <v>1.19</v>
      </c>
      <c r="N60" s="4"/>
    </row>
    <row r="61" spans="1:14" x14ac:dyDescent="0.35">
      <c r="A61" s="2" t="s">
        <v>6</v>
      </c>
      <c r="B61" s="8" t="s">
        <v>10</v>
      </c>
      <c r="C61" s="8" t="s">
        <v>45</v>
      </c>
      <c r="D61" s="3">
        <v>2009</v>
      </c>
      <c r="E61" s="18">
        <v>98651</v>
      </c>
      <c r="F61" s="13">
        <v>27.05</v>
      </c>
      <c r="G61" s="18">
        <v>2175000</v>
      </c>
      <c r="H61" s="21">
        <v>444900</v>
      </c>
      <c r="I61" s="21">
        <v>2803550</v>
      </c>
      <c r="J61" s="21">
        <v>113753</v>
      </c>
      <c r="K61" s="21"/>
      <c r="L61" s="13">
        <v>1.19</v>
      </c>
      <c r="N61" s="4"/>
    </row>
    <row r="62" spans="1:14" x14ac:dyDescent="0.35">
      <c r="A62" s="2" t="s">
        <v>6</v>
      </c>
      <c r="B62" s="8" t="s">
        <v>10</v>
      </c>
      <c r="C62" s="8" t="s">
        <v>45</v>
      </c>
      <c r="D62" s="3">
        <v>2010</v>
      </c>
      <c r="E62" s="18">
        <v>100974</v>
      </c>
      <c r="F62" s="13">
        <v>35.414999999999999</v>
      </c>
      <c r="G62" s="18">
        <v>2674000</v>
      </c>
      <c r="H62" s="21">
        <v>621500</v>
      </c>
      <c r="I62" s="21">
        <v>4315253</v>
      </c>
      <c r="J62" s="21">
        <v>909516</v>
      </c>
      <c r="K62" s="21">
        <v>60074</v>
      </c>
      <c r="L62" s="13">
        <v>1.24</v>
      </c>
      <c r="N62" s="4"/>
    </row>
    <row r="63" spans="1:14" x14ac:dyDescent="0.35">
      <c r="A63" s="2" t="s">
        <v>6</v>
      </c>
      <c r="B63" s="8" t="s">
        <v>10</v>
      </c>
      <c r="C63" s="8" t="s">
        <v>45</v>
      </c>
      <c r="D63" s="3">
        <v>2011</v>
      </c>
      <c r="E63" s="21">
        <v>102391</v>
      </c>
      <c r="F63" s="13">
        <v>28.39</v>
      </c>
      <c r="G63" s="21">
        <v>2809200</v>
      </c>
      <c r="H63" s="21">
        <v>590500</v>
      </c>
      <c r="I63" s="21">
        <v>4673670</v>
      </c>
      <c r="J63" s="21">
        <v>894501</v>
      </c>
      <c r="K63" s="21">
        <v>63335</v>
      </c>
      <c r="L63" s="13">
        <v>1.24</v>
      </c>
      <c r="N63" s="4"/>
    </row>
    <row r="64" spans="1:14" x14ac:dyDescent="0.35">
      <c r="A64" s="2" t="str">
        <f>A63</f>
        <v>AEX</v>
      </c>
      <c r="B64" s="5" t="str">
        <f>B63</f>
        <v>Boskalis</v>
      </c>
      <c r="C64" s="5" t="s">
        <v>45</v>
      </c>
      <c r="D64" s="6">
        <f>D63+1</f>
        <v>2012</v>
      </c>
      <c r="E64" s="21"/>
      <c r="G64" s="21"/>
      <c r="H64" s="21"/>
      <c r="I64" s="21"/>
      <c r="J64" s="21"/>
      <c r="K64" s="21"/>
      <c r="L64" s="13"/>
      <c r="N64" s="4"/>
    </row>
    <row r="65" spans="1:14" x14ac:dyDescent="0.35">
      <c r="A65" s="2" t="str">
        <f>A64</f>
        <v>AEX</v>
      </c>
      <c r="B65" s="5" t="str">
        <f>B64</f>
        <v>Boskalis</v>
      </c>
      <c r="C65" s="5" t="s">
        <v>45</v>
      </c>
      <c r="D65" s="6">
        <f>D64+1</f>
        <v>2013</v>
      </c>
      <c r="E65" s="21"/>
      <c r="G65" s="21"/>
      <c r="H65" s="21"/>
      <c r="I65" s="21"/>
      <c r="J65" s="21"/>
      <c r="K65" s="21"/>
      <c r="L65" s="13"/>
      <c r="N65" s="4"/>
    </row>
    <row r="66" spans="1:14" x14ac:dyDescent="0.35">
      <c r="A66" s="2" t="s">
        <v>6</v>
      </c>
      <c r="B66" s="8" t="s">
        <v>11</v>
      </c>
      <c r="C66" s="8" t="s">
        <v>46</v>
      </c>
      <c r="D66" s="3">
        <v>2006</v>
      </c>
      <c r="E66" s="18">
        <v>66250</v>
      </c>
      <c r="F66" s="13">
        <v>61.9</v>
      </c>
      <c r="G66" s="18">
        <v>327400</v>
      </c>
      <c r="H66" s="21"/>
      <c r="I66" s="21"/>
      <c r="J66" s="21"/>
      <c r="K66" s="21"/>
      <c r="L66" s="14"/>
      <c r="N66" s="4"/>
    </row>
    <row r="67" spans="1:14" x14ac:dyDescent="0.35">
      <c r="A67" s="2" t="s">
        <v>6</v>
      </c>
      <c r="B67" s="8" t="s">
        <v>11</v>
      </c>
      <c r="C67" s="8" t="s">
        <v>46</v>
      </c>
      <c r="D67" s="3">
        <v>2007</v>
      </c>
      <c r="E67" s="18">
        <v>66250</v>
      </c>
      <c r="F67" s="13">
        <v>55.4</v>
      </c>
      <c r="G67" s="18">
        <v>318600</v>
      </c>
      <c r="H67" s="21">
        <v>772000</v>
      </c>
      <c r="I67" s="21">
        <v>5949300</v>
      </c>
      <c r="J67" s="21">
        <v>2503700</v>
      </c>
      <c r="K67" s="21"/>
      <c r="L67" s="13">
        <v>2.6</v>
      </c>
      <c r="N67" s="4"/>
    </row>
    <row r="68" spans="1:14" x14ac:dyDescent="0.35">
      <c r="A68" s="2" t="s">
        <v>6</v>
      </c>
      <c r="B68" s="8" t="s">
        <v>11</v>
      </c>
      <c r="C68" s="8" t="s">
        <v>46</v>
      </c>
      <c r="D68" s="3">
        <v>2008</v>
      </c>
      <c r="E68" s="18">
        <v>66254</v>
      </c>
      <c r="F68" s="13">
        <v>32.89</v>
      </c>
      <c r="G68" s="18">
        <v>373010.02</v>
      </c>
      <c r="H68" s="21">
        <v>-53200</v>
      </c>
      <c r="I68" s="21">
        <v>6156300</v>
      </c>
      <c r="J68" s="21">
        <v>2654100</v>
      </c>
      <c r="K68" s="21"/>
      <c r="L68" s="13">
        <v>2.64</v>
      </c>
      <c r="N68" s="4"/>
    </row>
    <row r="69" spans="1:14" x14ac:dyDescent="0.35">
      <c r="A69" s="2" t="s">
        <v>6</v>
      </c>
      <c r="B69" s="8" t="s">
        <v>11</v>
      </c>
      <c r="C69" s="8" t="s">
        <v>46</v>
      </c>
      <c r="D69" s="3">
        <v>2009</v>
      </c>
      <c r="E69" s="18">
        <v>76363</v>
      </c>
      <c r="F69" s="13">
        <v>45.604999999999997</v>
      </c>
      <c r="G69" s="18">
        <v>390800</v>
      </c>
      <c r="H69" s="21">
        <v>-81400</v>
      </c>
      <c r="I69" s="21">
        <v>6223000</v>
      </c>
      <c r="J69" s="21">
        <v>2674800</v>
      </c>
      <c r="K69" s="21"/>
      <c r="L69" s="13">
        <v>2.65</v>
      </c>
      <c r="N69" s="4"/>
    </row>
    <row r="70" spans="1:14" x14ac:dyDescent="0.35">
      <c r="A70" s="2" t="s">
        <v>6</v>
      </c>
      <c r="B70" s="8" t="s">
        <v>11</v>
      </c>
      <c r="C70" s="8" t="s">
        <v>46</v>
      </c>
      <c r="D70" s="3">
        <v>2010</v>
      </c>
      <c r="E70" s="18">
        <v>87254</v>
      </c>
      <c r="F70" s="13">
        <v>48.034999999999997</v>
      </c>
      <c r="G70" s="18">
        <v>429600</v>
      </c>
      <c r="H70" s="21">
        <v>483000</v>
      </c>
      <c r="I70" s="21">
        <v>7816900</v>
      </c>
      <c r="J70" s="21">
        <v>3044500</v>
      </c>
      <c r="K70" s="21">
        <v>105000</v>
      </c>
      <c r="L70" s="13">
        <v>2.69</v>
      </c>
      <c r="N70" s="4"/>
    </row>
    <row r="71" spans="1:14" x14ac:dyDescent="0.35">
      <c r="A71" s="2" t="s">
        <v>6</v>
      </c>
      <c r="B71" s="8" t="s">
        <v>11</v>
      </c>
      <c r="C71" s="8" t="s">
        <v>46</v>
      </c>
      <c r="D71" s="3">
        <v>2011</v>
      </c>
      <c r="E71" s="21">
        <v>91805</v>
      </c>
      <c r="F71" s="13">
        <v>33.61</v>
      </c>
      <c r="G71" s="21">
        <v>460300</v>
      </c>
      <c r="H71" s="21">
        <v>369100</v>
      </c>
      <c r="I71" s="21">
        <v>7961200</v>
      </c>
      <c r="J71" s="21">
        <v>3125800</v>
      </c>
      <c r="K71" s="21">
        <v>129400</v>
      </c>
      <c r="L71" s="13">
        <v>2.76</v>
      </c>
      <c r="N71" s="4"/>
    </row>
    <row r="72" spans="1:14" x14ac:dyDescent="0.35">
      <c r="A72" s="2" t="s">
        <v>6</v>
      </c>
      <c r="B72" s="5" t="str">
        <f>B71</f>
        <v>Corio</v>
      </c>
      <c r="C72" s="5" t="s">
        <v>46</v>
      </c>
      <c r="D72" s="6">
        <f>D71+1</f>
        <v>2012</v>
      </c>
      <c r="E72" s="21"/>
      <c r="G72" s="21"/>
      <c r="H72" s="21"/>
      <c r="I72" s="21"/>
      <c r="J72" s="21"/>
      <c r="K72" s="21"/>
      <c r="L72" s="13"/>
      <c r="N72" s="4"/>
    </row>
    <row r="73" spans="1:14" x14ac:dyDescent="0.35">
      <c r="A73" s="2" t="s">
        <v>6</v>
      </c>
      <c r="B73" s="5" t="str">
        <f>B72</f>
        <v>Corio</v>
      </c>
      <c r="C73" s="5" t="s">
        <v>46</v>
      </c>
      <c r="D73" s="6">
        <f>D72+1</f>
        <v>2013</v>
      </c>
      <c r="E73" s="21"/>
      <c r="G73" s="21"/>
      <c r="H73" s="21"/>
      <c r="I73" s="21"/>
      <c r="J73" s="21"/>
      <c r="K73" s="21"/>
      <c r="L73" s="13"/>
      <c r="N73" s="4"/>
    </row>
    <row r="74" spans="1:14" x14ac:dyDescent="0.35">
      <c r="A74" s="2" t="s">
        <v>6</v>
      </c>
      <c r="B74" s="5" t="s">
        <v>37</v>
      </c>
      <c r="C74" s="8" t="s">
        <v>54</v>
      </c>
      <c r="D74" s="3">
        <v>2006</v>
      </c>
      <c r="E74" s="21"/>
      <c r="G74" s="21"/>
      <c r="H74" s="21"/>
      <c r="I74" s="21"/>
      <c r="J74" s="21"/>
      <c r="K74" s="21"/>
      <c r="L74" s="13"/>
      <c r="N74" s="4"/>
    </row>
    <row r="75" spans="1:14" x14ac:dyDescent="0.35">
      <c r="A75" s="2" t="s">
        <v>6</v>
      </c>
      <c r="B75" s="5" t="s">
        <v>37</v>
      </c>
      <c r="C75" s="8" t="s">
        <v>54</v>
      </c>
      <c r="D75" s="3">
        <v>2007</v>
      </c>
      <c r="E75" s="21"/>
      <c r="G75" s="21"/>
      <c r="H75" s="21"/>
      <c r="I75" s="21"/>
      <c r="J75" s="21"/>
      <c r="K75" s="21"/>
      <c r="L75" s="13"/>
      <c r="N75" s="4"/>
    </row>
    <row r="76" spans="1:14" x14ac:dyDescent="0.35">
      <c r="A76" s="2" t="s">
        <v>6</v>
      </c>
      <c r="B76" s="5" t="s">
        <v>37</v>
      </c>
      <c r="C76" s="8" t="s">
        <v>54</v>
      </c>
      <c r="D76" s="3">
        <v>2008</v>
      </c>
      <c r="E76" s="21"/>
      <c r="G76" s="21"/>
      <c r="H76" s="21"/>
      <c r="I76" s="21"/>
      <c r="J76" s="21"/>
      <c r="K76" s="21"/>
      <c r="L76" s="13"/>
      <c r="N76" s="4"/>
    </row>
    <row r="77" spans="1:14" x14ac:dyDescent="0.35">
      <c r="A77" s="2" t="s">
        <v>6</v>
      </c>
      <c r="B77" s="5" t="s">
        <v>37</v>
      </c>
      <c r="C77" s="8" t="s">
        <v>54</v>
      </c>
      <c r="D77" s="3">
        <v>2009</v>
      </c>
      <c r="E77" s="21"/>
      <c r="G77" s="21">
        <v>2234500</v>
      </c>
      <c r="H77" s="21"/>
      <c r="I77" s="21"/>
      <c r="J77" s="21"/>
      <c r="K77" s="21"/>
      <c r="L77" s="13"/>
      <c r="N77" s="4"/>
    </row>
    <row r="78" spans="1:14" x14ac:dyDescent="0.35">
      <c r="A78" s="2" t="s">
        <v>6</v>
      </c>
      <c r="B78" s="5" t="s">
        <v>37</v>
      </c>
      <c r="C78" s="8" t="s">
        <v>54</v>
      </c>
      <c r="D78" s="3">
        <v>2010</v>
      </c>
      <c r="E78" s="21"/>
      <c r="G78" s="21">
        <v>2595000</v>
      </c>
      <c r="H78" s="21"/>
      <c r="I78" s="21"/>
      <c r="J78" s="21"/>
      <c r="K78" s="21"/>
      <c r="L78" s="13"/>
      <c r="N78" s="4"/>
    </row>
    <row r="79" spans="1:14" x14ac:dyDescent="0.35">
      <c r="A79" s="2" t="s">
        <v>6</v>
      </c>
      <c r="B79" s="5" t="s">
        <v>37</v>
      </c>
      <c r="C79" s="8" t="s">
        <v>54</v>
      </c>
      <c r="D79" s="3">
        <v>2011</v>
      </c>
      <c r="E79" s="21">
        <v>619900</v>
      </c>
      <c r="F79" s="13">
        <v>8.91</v>
      </c>
      <c r="G79" s="21">
        <v>2793000</v>
      </c>
      <c r="H79" s="21">
        <v>405000</v>
      </c>
      <c r="I79" s="21">
        <v>2120000</v>
      </c>
      <c r="J79" s="21">
        <v>529000</v>
      </c>
      <c r="K79" s="21">
        <v>18000</v>
      </c>
      <c r="L79" s="13">
        <v>0</v>
      </c>
      <c r="N79" s="4"/>
    </row>
    <row r="80" spans="1:14" x14ac:dyDescent="0.35">
      <c r="A80" s="2" t="s">
        <v>6</v>
      </c>
      <c r="B80" s="5" t="s">
        <v>37</v>
      </c>
      <c r="C80" s="8" t="s">
        <v>54</v>
      </c>
      <c r="D80" s="6">
        <f>D79+1</f>
        <v>2012</v>
      </c>
      <c r="E80" s="21">
        <v>0</v>
      </c>
      <c r="G80" s="21"/>
      <c r="H80" s="21"/>
      <c r="I80" s="21"/>
      <c r="J80" s="21"/>
      <c r="K80" s="21"/>
      <c r="L80" s="13"/>
      <c r="N80" s="4"/>
    </row>
    <row r="81" spans="1:14" x14ac:dyDescent="0.35">
      <c r="A81" s="2" t="s">
        <v>6</v>
      </c>
      <c r="B81" s="5" t="s">
        <v>37</v>
      </c>
      <c r="C81" s="8" t="s">
        <v>54</v>
      </c>
      <c r="D81" s="6">
        <f>D80+1</f>
        <v>2013</v>
      </c>
      <c r="E81" s="21">
        <v>0</v>
      </c>
      <c r="G81" s="21"/>
      <c r="H81" s="21"/>
      <c r="I81" s="21"/>
      <c r="J81" s="21"/>
      <c r="K81" s="21"/>
      <c r="L81" s="13"/>
      <c r="N81" s="4"/>
    </row>
    <row r="82" spans="1:14" x14ac:dyDescent="0.35">
      <c r="A82" s="2" t="s">
        <v>6</v>
      </c>
      <c r="B82" s="8" t="s">
        <v>12</v>
      </c>
      <c r="C82" s="8" t="s">
        <v>43</v>
      </c>
      <c r="D82" s="3">
        <v>2006</v>
      </c>
      <c r="E82" s="18">
        <v>190750</v>
      </c>
      <c r="F82" s="13">
        <v>37.43</v>
      </c>
      <c r="G82" s="18">
        <v>8352000</v>
      </c>
      <c r="H82" s="21">
        <v>1274000</v>
      </c>
      <c r="I82" s="21">
        <v>10091000</v>
      </c>
      <c r="J82" s="21">
        <v>1826000</v>
      </c>
      <c r="K82" s="21"/>
      <c r="L82" s="13"/>
      <c r="N82" s="4"/>
    </row>
    <row r="83" spans="1:14" x14ac:dyDescent="0.35">
      <c r="A83" s="2" t="s">
        <v>6</v>
      </c>
      <c r="B83" s="8" t="s">
        <v>12</v>
      </c>
      <c r="C83" s="8" t="s">
        <v>43</v>
      </c>
      <c r="D83" s="3">
        <v>2007</v>
      </c>
      <c r="E83" s="18">
        <v>180020</v>
      </c>
      <c r="F83" s="13">
        <v>32.33</v>
      </c>
      <c r="G83" s="18">
        <v>8757000</v>
      </c>
      <c r="H83" s="21">
        <v>1247000</v>
      </c>
      <c r="I83" s="21">
        <v>9828000</v>
      </c>
      <c r="J83" s="21">
        <v>2382000</v>
      </c>
      <c r="K83" s="21"/>
      <c r="L83" s="13">
        <v>1.2</v>
      </c>
      <c r="N83" s="4"/>
    </row>
    <row r="84" spans="1:14" x14ac:dyDescent="0.35">
      <c r="A84" s="2" t="s">
        <v>6</v>
      </c>
      <c r="B84" s="8" t="s">
        <v>12</v>
      </c>
      <c r="C84" s="8" t="s">
        <v>43</v>
      </c>
      <c r="D84" s="3">
        <v>2008</v>
      </c>
      <c r="E84" s="18">
        <v>162277</v>
      </c>
      <c r="F84" s="13">
        <v>18.329999999999998</v>
      </c>
      <c r="G84" s="18">
        <v>9079000</v>
      </c>
      <c r="H84" s="21">
        <v>1357000</v>
      </c>
      <c r="I84" s="21">
        <v>9653000</v>
      </c>
      <c r="J84" s="21">
        <v>2250000</v>
      </c>
      <c r="K84" s="21"/>
      <c r="L84" s="13">
        <v>1.2</v>
      </c>
      <c r="N84" s="4"/>
    </row>
    <row r="85" spans="1:14" x14ac:dyDescent="0.35">
      <c r="A85" s="2" t="s">
        <v>6</v>
      </c>
      <c r="B85" s="8" t="s">
        <v>12</v>
      </c>
      <c r="C85" s="8" t="s">
        <v>43</v>
      </c>
      <c r="D85" s="3">
        <v>2009</v>
      </c>
      <c r="E85" s="18">
        <v>163037</v>
      </c>
      <c r="F85" s="13">
        <v>34.46</v>
      </c>
      <c r="G85" s="18">
        <v>6725000</v>
      </c>
      <c r="H85" s="21">
        <v>917000</v>
      </c>
      <c r="I85" s="21">
        <v>9614000</v>
      </c>
      <c r="J85" s="21">
        <v>2631000</v>
      </c>
      <c r="K85" s="21"/>
      <c r="L85" s="13">
        <v>1.2</v>
      </c>
      <c r="N85" s="4"/>
    </row>
    <row r="86" spans="1:14" x14ac:dyDescent="0.35">
      <c r="A86" s="2" t="s">
        <v>6</v>
      </c>
      <c r="B86" s="8" t="s">
        <v>12</v>
      </c>
      <c r="C86" s="8" t="s">
        <v>43</v>
      </c>
      <c r="D86" s="3">
        <v>2010</v>
      </c>
      <c r="E86" s="18">
        <v>165050</v>
      </c>
      <c r="F86" s="13">
        <v>42.905000000000001</v>
      </c>
      <c r="G86" s="18">
        <v>8176000</v>
      </c>
      <c r="H86" s="21">
        <v>1226000</v>
      </c>
      <c r="I86" s="21">
        <v>10480000</v>
      </c>
      <c r="J86" s="21">
        <v>2570000</v>
      </c>
      <c r="K86" s="21">
        <v>102000</v>
      </c>
      <c r="L86" s="13">
        <v>1.35</v>
      </c>
      <c r="N86" s="4"/>
    </row>
    <row r="87" spans="1:14" x14ac:dyDescent="0.35">
      <c r="A87" s="2" t="s">
        <v>6</v>
      </c>
      <c r="B87" s="8" t="s">
        <v>12</v>
      </c>
      <c r="C87" s="8" t="s">
        <v>43</v>
      </c>
      <c r="D87" s="3">
        <v>2011</v>
      </c>
      <c r="E87" s="21">
        <v>163257</v>
      </c>
      <c r="F87" s="13">
        <v>35.85</v>
      </c>
      <c r="G87" s="21">
        <v>9193000</v>
      </c>
      <c r="H87" s="21">
        <v>1430000</v>
      </c>
      <c r="I87" s="21">
        <v>11157000</v>
      </c>
      <c r="J87" s="21">
        <v>2728000</v>
      </c>
      <c r="K87" s="21">
        <v>99000</v>
      </c>
      <c r="L87" s="13">
        <v>1.45</v>
      </c>
      <c r="N87" s="4"/>
    </row>
    <row r="88" spans="1:14" x14ac:dyDescent="0.35">
      <c r="A88" s="2" t="s">
        <v>6</v>
      </c>
      <c r="B88" s="5" t="str">
        <f>B87</f>
        <v>DSM</v>
      </c>
      <c r="C88" s="5" t="s">
        <v>43</v>
      </c>
      <c r="D88" s="6">
        <f>D87+1</f>
        <v>2012</v>
      </c>
      <c r="E88" s="21"/>
      <c r="G88" s="21"/>
      <c r="H88" s="21"/>
      <c r="I88" s="21"/>
      <c r="J88" s="21"/>
      <c r="K88" s="21"/>
      <c r="L88" s="13"/>
      <c r="N88" s="4"/>
    </row>
    <row r="89" spans="1:14" x14ac:dyDescent="0.35">
      <c r="A89" s="2" t="s">
        <v>6</v>
      </c>
      <c r="B89" s="5" t="str">
        <f>B88</f>
        <v>DSM</v>
      </c>
      <c r="C89" s="5" t="s">
        <v>43</v>
      </c>
      <c r="D89" s="6">
        <f>D88+1</f>
        <v>2013</v>
      </c>
      <c r="E89" s="21"/>
      <c r="G89" s="21"/>
      <c r="H89" s="21"/>
      <c r="I89" s="21"/>
      <c r="J89" s="21"/>
      <c r="K89" s="21"/>
      <c r="L89" s="13"/>
      <c r="N89" s="4"/>
    </row>
    <row r="90" spans="1:14" x14ac:dyDescent="0.35">
      <c r="A90" s="2" t="s">
        <v>6</v>
      </c>
      <c r="B90" s="8" t="s">
        <v>13</v>
      </c>
      <c r="C90" s="8" t="s">
        <v>47</v>
      </c>
      <c r="D90" s="3">
        <v>2006</v>
      </c>
      <c r="E90" s="18">
        <v>75770</v>
      </c>
      <c r="F90" s="13">
        <v>36.200000000000003</v>
      </c>
      <c r="G90" s="18">
        <v>1434300</v>
      </c>
      <c r="H90" s="21">
        <v>295948</v>
      </c>
      <c r="I90" s="21">
        <v>1405698</v>
      </c>
      <c r="J90" s="21">
        <f>341997+13888</f>
        <v>355885</v>
      </c>
      <c r="K90" s="21"/>
      <c r="L90" s="13"/>
      <c r="N90" s="4"/>
    </row>
    <row r="91" spans="1:14" x14ac:dyDescent="0.35">
      <c r="A91" s="2" t="s">
        <v>6</v>
      </c>
      <c r="B91" s="8" t="s">
        <v>13</v>
      </c>
      <c r="C91" s="8" t="s">
        <v>47</v>
      </c>
      <c r="D91" s="3">
        <v>2007</v>
      </c>
      <c r="E91" s="18">
        <v>76957</v>
      </c>
      <c r="F91" s="13">
        <v>52.8</v>
      </c>
      <c r="G91" s="18">
        <v>1802700</v>
      </c>
      <c r="H91" s="21">
        <v>439590</v>
      </c>
      <c r="I91" s="21">
        <v>1700130</v>
      </c>
      <c r="J91" s="21">
        <f>449957+16278</f>
        <v>466235</v>
      </c>
      <c r="K91" s="21"/>
      <c r="L91" s="13"/>
      <c r="N91" s="4"/>
    </row>
    <row r="92" spans="1:14" x14ac:dyDescent="0.35">
      <c r="A92" s="2" t="s">
        <v>6</v>
      </c>
      <c r="B92" s="8" t="s">
        <v>13</v>
      </c>
      <c r="C92" s="8" t="s">
        <v>47</v>
      </c>
      <c r="D92" s="3">
        <v>2008</v>
      </c>
      <c r="E92" s="18">
        <v>75138</v>
      </c>
      <c r="F92" s="13">
        <v>20.49</v>
      </c>
      <c r="G92" s="18">
        <v>2154500</v>
      </c>
      <c r="H92" s="21">
        <v>535200</v>
      </c>
      <c r="I92" s="21">
        <v>2123300</v>
      </c>
      <c r="J92" s="21">
        <f>13155+395384</f>
        <v>408539</v>
      </c>
      <c r="K92" s="21"/>
      <c r="L92" s="13"/>
      <c r="N92" s="4"/>
    </row>
    <row r="93" spans="1:14" x14ac:dyDescent="0.35">
      <c r="A93" s="2" t="s">
        <v>6</v>
      </c>
      <c r="B93" s="8" t="s">
        <v>13</v>
      </c>
      <c r="C93" s="8" t="s">
        <v>47</v>
      </c>
      <c r="D93" s="3">
        <v>2009</v>
      </c>
      <c r="E93" s="18">
        <v>77554</v>
      </c>
      <c r="F93" s="13">
        <v>40.26</v>
      </c>
      <c r="G93" s="18">
        <v>2053000</v>
      </c>
      <c r="H93" s="21">
        <v>551100</v>
      </c>
      <c r="I93" s="21">
        <v>2366300</v>
      </c>
      <c r="J93" s="21">
        <f>6240+441339</f>
        <v>447579</v>
      </c>
      <c r="K93" s="21"/>
      <c r="L93" s="13"/>
      <c r="N93" s="4"/>
    </row>
    <row r="94" spans="1:14" x14ac:dyDescent="0.35">
      <c r="A94" s="2" t="s">
        <v>6</v>
      </c>
      <c r="B94" s="8" t="s">
        <v>13</v>
      </c>
      <c r="C94" s="8" t="s">
        <v>47</v>
      </c>
      <c r="D94" s="3">
        <v>2010</v>
      </c>
      <c r="E94" s="18">
        <v>78357</v>
      </c>
      <c r="F94" s="13">
        <v>61.55</v>
      </c>
      <c r="G94" s="18">
        <v>2280400</v>
      </c>
      <c r="H94" s="21">
        <v>561100</v>
      </c>
      <c r="I94" s="21">
        <v>3090000</v>
      </c>
      <c r="J94" s="21">
        <f>5204+590862</f>
        <v>596066</v>
      </c>
      <c r="K94" s="21">
        <v>22065</v>
      </c>
      <c r="L94" s="13"/>
      <c r="N94" s="4"/>
    </row>
    <row r="95" spans="1:14" x14ac:dyDescent="0.35">
      <c r="A95" s="2" t="s">
        <v>6</v>
      </c>
      <c r="B95" s="8" t="s">
        <v>13</v>
      </c>
      <c r="C95" s="8" t="s">
        <v>47</v>
      </c>
      <c r="D95" s="3">
        <v>2011</v>
      </c>
      <c r="E95" s="21">
        <v>79227</v>
      </c>
      <c r="F95" s="13">
        <v>44.9</v>
      </c>
      <c r="G95" s="18">
        <v>2576500</v>
      </c>
      <c r="H95" s="21">
        <v>580988</v>
      </c>
      <c r="I95" s="21">
        <v>3861595</v>
      </c>
      <c r="J95" s="21">
        <v>1331391</v>
      </c>
      <c r="K95" s="21">
        <v>42548</v>
      </c>
      <c r="L95" s="13">
        <v>1.5</v>
      </c>
      <c r="N95" s="4"/>
    </row>
    <row r="96" spans="1:14" x14ac:dyDescent="0.35">
      <c r="A96" s="2" t="str">
        <f>A95</f>
        <v>AEX</v>
      </c>
      <c r="B96" s="5" t="str">
        <f>B95</f>
        <v>Fugro</v>
      </c>
      <c r="C96" s="5" t="s">
        <v>47</v>
      </c>
      <c r="D96" s="6">
        <f>D95+1</f>
        <v>2012</v>
      </c>
      <c r="E96" s="21"/>
      <c r="G96" s="18"/>
      <c r="H96" s="21"/>
      <c r="I96" s="21"/>
      <c r="J96" s="21"/>
      <c r="K96" s="21"/>
      <c r="L96" s="13"/>
      <c r="N96" s="4"/>
    </row>
    <row r="97" spans="1:14" x14ac:dyDescent="0.35">
      <c r="A97" s="2" t="str">
        <f>A96</f>
        <v>AEX</v>
      </c>
      <c r="B97" s="5" t="str">
        <f>B96</f>
        <v>Fugro</v>
      </c>
      <c r="C97" s="5" t="s">
        <v>47</v>
      </c>
      <c r="D97" s="6">
        <f>D96+1</f>
        <v>2013</v>
      </c>
      <c r="E97" s="21"/>
      <c r="G97" s="18"/>
      <c r="H97" s="21"/>
      <c r="I97" s="21"/>
      <c r="J97" s="21"/>
      <c r="K97" s="21"/>
      <c r="L97" s="13"/>
      <c r="N97" s="4"/>
    </row>
    <row r="98" spans="1:14" x14ac:dyDescent="0.35">
      <c r="A98" s="2" t="s">
        <v>6</v>
      </c>
      <c r="B98" s="8" t="s">
        <v>14</v>
      </c>
      <c r="C98" s="8" t="s">
        <v>48</v>
      </c>
      <c r="D98" s="3">
        <v>2006</v>
      </c>
      <c r="E98" s="18">
        <v>489974</v>
      </c>
      <c r="F98" s="13">
        <v>36.03</v>
      </c>
      <c r="G98" s="18">
        <v>10829000</v>
      </c>
      <c r="H98" s="21">
        <f>0.221*G98</f>
        <v>2393209</v>
      </c>
      <c r="I98" s="21">
        <v>12997000</v>
      </c>
      <c r="J98" s="21">
        <v>3469000</v>
      </c>
      <c r="K98" s="21"/>
      <c r="L98" s="13"/>
      <c r="N98" s="4"/>
    </row>
    <row r="99" spans="1:14" x14ac:dyDescent="0.35">
      <c r="A99" s="2" t="s">
        <v>6</v>
      </c>
      <c r="B99" s="8" t="s">
        <v>14</v>
      </c>
      <c r="C99" s="8" t="s">
        <v>48</v>
      </c>
      <c r="D99" s="3">
        <v>2007</v>
      </c>
      <c r="E99" s="18">
        <v>489974</v>
      </c>
      <c r="F99" s="13">
        <v>44.22</v>
      </c>
      <c r="G99" s="18">
        <v>11245000</v>
      </c>
      <c r="H99" s="21">
        <f>0.182*G99</f>
        <v>2046590</v>
      </c>
      <c r="I99" s="21">
        <v>12968000</v>
      </c>
      <c r="J99" s="21">
        <v>2466000</v>
      </c>
      <c r="K99" s="21"/>
      <c r="L99" s="13"/>
      <c r="N99" s="4"/>
    </row>
    <row r="100" spans="1:14" x14ac:dyDescent="0.35">
      <c r="A100" s="2" t="s">
        <v>6</v>
      </c>
      <c r="B100" s="8" t="s">
        <v>14</v>
      </c>
      <c r="C100" s="8" t="s">
        <v>48</v>
      </c>
      <c r="D100" s="3">
        <v>2008</v>
      </c>
      <c r="E100" s="18">
        <v>488930</v>
      </c>
      <c r="F100" s="13">
        <v>21.9</v>
      </c>
      <c r="G100" s="18">
        <v>14320759.699999999</v>
      </c>
      <c r="H100" s="21">
        <f>0.182*G100</f>
        <v>2606378.2653999999</v>
      </c>
      <c r="I100" s="21">
        <v>20563000</v>
      </c>
      <c r="J100" s="21">
        <v>10753000</v>
      </c>
      <c r="K100" s="21"/>
      <c r="L100" s="13"/>
      <c r="N100" s="4"/>
    </row>
    <row r="101" spans="1:14" x14ac:dyDescent="0.35">
      <c r="A101" s="2" t="s">
        <v>6</v>
      </c>
      <c r="B101" s="8" t="s">
        <v>14</v>
      </c>
      <c r="C101" s="8" t="s">
        <v>48</v>
      </c>
      <c r="D101" s="3">
        <v>2009</v>
      </c>
      <c r="E101" s="18">
        <v>488723</v>
      </c>
      <c r="F101" s="13">
        <v>33.409999999999997</v>
      </c>
      <c r="G101" s="18">
        <v>14700787.84</v>
      </c>
      <c r="H101" s="21">
        <f>0.193*G101</f>
        <v>2837252.0531199998</v>
      </c>
      <c r="I101" s="21">
        <v>20180000</v>
      </c>
      <c r="J101" s="21">
        <v>9177000</v>
      </c>
      <c r="K101" s="21"/>
      <c r="L101" s="13"/>
      <c r="N101" s="4"/>
    </row>
    <row r="102" spans="1:14" x14ac:dyDescent="0.35">
      <c r="A102" s="2" t="s">
        <v>6</v>
      </c>
      <c r="B102" s="8" t="s">
        <v>14</v>
      </c>
      <c r="C102" s="8" t="s">
        <v>48</v>
      </c>
      <c r="D102" s="3">
        <v>2010</v>
      </c>
      <c r="E102" s="18">
        <v>563387</v>
      </c>
      <c r="F102" s="13">
        <v>37.22</v>
      </c>
      <c r="G102" s="18">
        <v>16133000</v>
      </c>
      <c r="H102" s="21">
        <v>3584000</v>
      </c>
      <c r="I102" s="21">
        <v>26549000</v>
      </c>
      <c r="J102" s="21">
        <v>10409000</v>
      </c>
      <c r="K102" s="21">
        <v>590000</v>
      </c>
      <c r="L102" s="13" t="e">
        <f>438000/#REF!</f>
        <v>#REF!</v>
      </c>
      <c r="N102" s="4"/>
    </row>
    <row r="103" spans="1:14" x14ac:dyDescent="0.35">
      <c r="A103" s="2" t="s">
        <v>6</v>
      </c>
      <c r="B103" s="8" t="s">
        <v>14</v>
      </c>
      <c r="C103" s="8" t="s">
        <v>48</v>
      </c>
      <c r="D103" s="3">
        <v>2011</v>
      </c>
      <c r="E103" s="21">
        <v>586278</v>
      </c>
      <c r="F103" s="13">
        <v>35.770000000000003</v>
      </c>
      <c r="G103" s="21">
        <v>17187000</v>
      </c>
      <c r="H103" s="21">
        <v>3623000</v>
      </c>
      <c r="I103" s="21">
        <v>27127000</v>
      </c>
      <c r="J103" s="21">
        <v>9180000</v>
      </c>
      <c r="K103" s="21">
        <v>494000</v>
      </c>
      <c r="L103" s="13">
        <v>0.83</v>
      </c>
      <c r="N103" s="4"/>
    </row>
    <row r="104" spans="1:14" x14ac:dyDescent="0.35">
      <c r="A104" s="2" t="str">
        <f>A103</f>
        <v>AEX</v>
      </c>
      <c r="B104" s="5" t="str">
        <f>B103</f>
        <v>Heineken</v>
      </c>
      <c r="C104" s="5" t="s">
        <v>48</v>
      </c>
      <c r="D104" s="6">
        <f>D103+1</f>
        <v>2012</v>
      </c>
      <c r="E104" s="21"/>
      <c r="G104" s="21"/>
      <c r="H104" s="21"/>
      <c r="I104" s="21"/>
      <c r="J104" s="21"/>
      <c r="K104" s="21"/>
      <c r="L104" s="13"/>
      <c r="N104" s="4"/>
    </row>
    <row r="105" spans="1:14" x14ac:dyDescent="0.35">
      <c r="A105" s="2" t="str">
        <f>A104</f>
        <v>AEX</v>
      </c>
      <c r="B105" s="5" t="str">
        <f>B104</f>
        <v>Heineken</v>
      </c>
      <c r="C105" s="5" t="s">
        <v>48</v>
      </c>
      <c r="D105" s="6">
        <f>D104+1</f>
        <v>2013</v>
      </c>
      <c r="E105" s="21"/>
      <c r="G105" s="21"/>
      <c r="H105" s="21"/>
      <c r="I105" s="21"/>
      <c r="J105" s="21"/>
      <c r="K105" s="21"/>
      <c r="L105" s="13"/>
      <c r="N105" s="4"/>
    </row>
    <row r="106" spans="1:14" x14ac:dyDescent="0.35">
      <c r="A106" s="2" t="s">
        <v>6</v>
      </c>
      <c r="B106" s="8" t="s">
        <v>34</v>
      </c>
      <c r="C106" s="8" t="s">
        <v>40</v>
      </c>
      <c r="D106" s="3">
        <v>2006</v>
      </c>
      <c r="E106" s="18">
        <v>2835100</v>
      </c>
      <c r="F106" s="13">
        <v>25.79</v>
      </c>
      <c r="G106" s="18">
        <v>73621000</v>
      </c>
      <c r="H106" s="21">
        <v>9940000</v>
      </c>
      <c r="I106" s="21">
        <v>1226000000</v>
      </c>
      <c r="J106" s="21">
        <f>1185000000</f>
        <v>1185000000</v>
      </c>
      <c r="K106" s="21"/>
      <c r="L106" s="13"/>
      <c r="N106" s="4"/>
    </row>
    <row r="107" spans="1:14" x14ac:dyDescent="0.35">
      <c r="A107" s="2" t="s">
        <v>6</v>
      </c>
      <c r="B107" s="8" t="s">
        <v>34</v>
      </c>
      <c r="C107" s="8" t="s">
        <v>40</v>
      </c>
      <c r="D107" s="3">
        <v>2007</v>
      </c>
      <c r="E107" s="18">
        <v>2808500</v>
      </c>
      <c r="F107" s="13">
        <v>20.54</v>
      </c>
      <c r="G107" s="18">
        <v>76586000</v>
      </c>
      <c r="H107" s="21">
        <v>11043000</v>
      </c>
      <c r="I107" s="21">
        <v>1313000000</v>
      </c>
      <c r="J107" s="21">
        <f>1273000000</f>
        <v>1273000000</v>
      </c>
      <c r="K107" s="21"/>
      <c r="L107" s="13">
        <v>1.1399999999999999</v>
      </c>
      <c r="N107" s="4"/>
    </row>
    <row r="108" spans="1:14" x14ac:dyDescent="0.35">
      <c r="A108" s="2" t="s">
        <v>6</v>
      </c>
      <c r="B108" s="8" t="s">
        <v>34</v>
      </c>
      <c r="C108" s="8" t="s">
        <v>40</v>
      </c>
      <c r="D108" s="3">
        <v>2008</v>
      </c>
      <c r="E108" s="18">
        <v>2639339</v>
      </c>
      <c r="F108" s="13">
        <v>5.63</v>
      </c>
      <c r="G108" s="18">
        <v>66291000</v>
      </c>
      <c r="H108" s="21">
        <v>-1487000</v>
      </c>
      <c r="I108" s="21">
        <v>1332000000</v>
      </c>
      <c r="J108" s="21">
        <v>1303000000</v>
      </c>
      <c r="K108" s="21"/>
      <c r="L108" s="13">
        <v>0.56999999999999995</v>
      </c>
      <c r="N108" s="4"/>
    </row>
    <row r="109" spans="1:14" x14ac:dyDescent="0.35">
      <c r="A109" s="2" t="s">
        <v>6</v>
      </c>
      <c r="B109" s="8" t="s">
        <v>34</v>
      </c>
      <c r="C109" s="8" t="s">
        <v>40</v>
      </c>
      <c r="D109" s="3">
        <v>2009</v>
      </c>
      <c r="E109" s="18">
        <v>3784514</v>
      </c>
      <c r="F109" s="13">
        <v>6.91</v>
      </c>
      <c r="G109" s="18">
        <v>47765000</v>
      </c>
      <c r="H109" s="21">
        <f>-136000+711000</f>
        <v>575000</v>
      </c>
      <c r="I109" s="21">
        <v>1164000000</v>
      </c>
      <c r="J109" s="21">
        <v>1124000000</v>
      </c>
      <c r="K109" s="21">
        <v>711000</v>
      </c>
      <c r="L109" s="13">
        <v>0</v>
      </c>
      <c r="N109" s="4"/>
    </row>
    <row r="110" spans="1:14" x14ac:dyDescent="0.35">
      <c r="A110" s="2" t="s">
        <v>6</v>
      </c>
      <c r="B110" s="8" t="s">
        <v>34</v>
      </c>
      <c r="C110" s="8" t="s">
        <v>40</v>
      </c>
      <c r="D110" s="3">
        <v>2010</v>
      </c>
      <c r="E110" s="18">
        <v>3780300</v>
      </c>
      <c r="F110" s="13">
        <v>7.26</v>
      </c>
      <c r="G110" s="18">
        <v>54887000</v>
      </c>
      <c r="H110" s="21">
        <f>5651000+786000</f>
        <v>6437000</v>
      </c>
      <c r="I110" s="21">
        <v>1247000000</v>
      </c>
      <c r="J110" s="21">
        <v>1200000000</v>
      </c>
      <c r="K110" s="21">
        <v>786000</v>
      </c>
      <c r="L110" s="13">
        <v>0</v>
      </c>
      <c r="N110" s="4"/>
    </row>
    <row r="111" spans="1:14" x14ac:dyDescent="0.35">
      <c r="A111" s="2" t="s">
        <v>6</v>
      </c>
      <c r="B111" s="8" t="s">
        <v>34</v>
      </c>
      <c r="C111" s="8" t="s">
        <v>40</v>
      </c>
      <c r="D111" s="3">
        <v>2011</v>
      </c>
      <c r="E111" s="21">
        <v>4149700</v>
      </c>
      <c r="F111" s="13">
        <v>5.56</v>
      </c>
      <c r="G111" s="21">
        <f>13.71*4149700</f>
        <v>56892387</v>
      </c>
      <c r="H111" s="21">
        <f>7623000+528000</f>
        <v>8151000</v>
      </c>
      <c r="I111" s="21">
        <v>1279000000</v>
      </c>
      <c r="J111" s="21">
        <v>1228788000</v>
      </c>
      <c r="K111" s="21">
        <v>528000</v>
      </c>
      <c r="L111" s="13">
        <v>0</v>
      </c>
      <c r="N111" s="4"/>
    </row>
    <row r="112" spans="1:14" x14ac:dyDescent="0.35">
      <c r="A112" s="2" t="str">
        <f>A111</f>
        <v>AEX</v>
      </c>
      <c r="B112" s="5" t="str">
        <f>B111</f>
        <v>ING cert.</v>
      </c>
      <c r="C112" s="5" t="s">
        <v>40</v>
      </c>
      <c r="D112" s="6">
        <f>D111+1</f>
        <v>2012</v>
      </c>
      <c r="E112" s="21"/>
      <c r="G112" s="21"/>
      <c r="H112" s="21"/>
      <c r="I112" s="21"/>
      <c r="J112" s="21"/>
      <c r="K112" s="21"/>
      <c r="L112" s="13"/>
      <c r="N112" s="4"/>
    </row>
    <row r="113" spans="1:14" x14ac:dyDescent="0.35">
      <c r="A113" s="2" t="str">
        <f>A112</f>
        <v>AEX</v>
      </c>
      <c r="B113" s="5" t="str">
        <f>B112</f>
        <v>ING cert.</v>
      </c>
      <c r="C113" s="5" t="s">
        <v>40</v>
      </c>
      <c r="D113" s="6">
        <f>D112+1</f>
        <v>2013</v>
      </c>
      <c r="E113" s="21"/>
      <c r="G113" s="21"/>
      <c r="H113" s="21"/>
      <c r="I113" s="21"/>
      <c r="J113" s="21"/>
      <c r="K113" s="21"/>
      <c r="L113" s="13"/>
      <c r="N113" s="4"/>
    </row>
    <row r="114" spans="1:14" x14ac:dyDescent="0.35">
      <c r="A114" s="2" t="s">
        <v>6</v>
      </c>
      <c r="B114" s="8" t="s">
        <v>15</v>
      </c>
      <c r="C114" s="8" t="s">
        <v>49</v>
      </c>
      <c r="D114" s="3">
        <v>2006</v>
      </c>
      <c r="E114" s="18">
        <v>2013330</v>
      </c>
      <c r="F114" s="13">
        <v>10.77</v>
      </c>
      <c r="G114" s="18">
        <v>12057000</v>
      </c>
      <c r="H114" s="21">
        <v>4800000</v>
      </c>
      <c r="I114" s="21">
        <v>21258000</v>
      </c>
      <c r="J114" s="21">
        <v>13213000</v>
      </c>
      <c r="K114" s="21"/>
      <c r="L114" s="13"/>
      <c r="N114" s="4"/>
    </row>
    <row r="115" spans="1:14" x14ac:dyDescent="0.35">
      <c r="A115" s="2" t="s">
        <v>6</v>
      </c>
      <c r="B115" s="8" t="s">
        <v>15</v>
      </c>
      <c r="C115" s="8" t="s">
        <v>49</v>
      </c>
      <c r="D115" s="3">
        <v>2007</v>
      </c>
      <c r="E115" s="18">
        <v>1869925</v>
      </c>
      <c r="F115" s="13">
        <v>12.44</v>
      </c>
      <c r="G115" s="18">
        <v>12632000</v>
      </c>
      <c r="H115" s="21">
        <v>4900000</v>
      </c>
      <c r="I115" s="21">
        <v>24797000</v>
      </c>
      <c r="J115" s="21">
        <v>13702000</v>
      </c>
      <c r="K115" s="21"/>
      <c r="L115" s="13"/>
      <c r="N115" s="4"/>
    </row>
    <row r="116" spans="1:14" x14ac:dyDescent="0.35">
      <c r="A116" s="2" t="s">
        <v>6</v>
      </c>
      <c r="B116" s="8" t="s">
        <v>15</v>
      </c>
      <c r="C116" s="8" t="s">
        <v>49</v>
      </c>
      <c r="D116" s="3">
        <v>2008</v>
      </c>
      <c r="E116" s="18">
        <v>1699390</v>
      </c>
      <c r="F116" s="13">
        <v>10.4</v>
      </c>
      <c r="G116" s="18">
        <v>14604937</v>
      </c>
      <c r="H116" s="21">
        <v>5100000</v>
      </c>
      <c r="I116" s="21">
        <v>23913000</v>
      </c>
      <c r="J116" s="21">
        <v>14357000</v>
      </c>
      <c r="K116" s="21"/>
      <c r="L116" s="13"/>
      <c r="N116" s="4"/>
    </row>
    <row r="117" spans="1:14" x14ac:dyDescent="0.35">
      <c r="A117" s="2" t="s">
        <v>6</v>
      </c>
      <c r="B117" s="8" t="s">
        <v>15</v>
      </c>
      <c r="C117" s="8" t="s">
        <v>49</v>
      </c>
      <c r="D117" s="3">
        <v>2009</v>
      </c>
      <c r="E117" s="18">
        <v>1612559</v>
      </c>
      <c r="F117" s="13">
        <v>11.715</v>
      </c>
      <c r="G117" s="18">
        <v>13339109.390000001</v>
      </c>
      <c r="H117" s="21">
        <v>5200000</v>
      </c>
      <c r="I117" s="21">
        <v>24851000</v>
      </c>
      <c r="J117" s="21">
        <v>15756000</v>
      </c>
      <c r="K117" s="21"/>
      <c r="L117" s="13">
        <v>0.69</v>
      </c>
      <c r="N117" s="4"/>
    </row>
    <row r="118" spans="1:14" x14ac:dyDescent="0.35">
      <c r="A118" s="2" t="s">
        <v>6</v>
      </c>
      <c r="B118" s="8" t="s">
        <v>15</v>
      </c>
      <c r="C118" s="8" t="s">
        <v>49</v>
      </c>
      <c r="D118" s="3">
        <v>2010</v>
      </c>
      <c r="E118" s="18">
        <v>1565061</v>
      </c>
      <c r="F118" s="13">
        <v>10.92</v>
      </c>
      <c r="G118" s="18">
        <v>13389000</v>
      </c>
      <c r="H118" s="21">
        <v>5500000</v>
      </c>
      <c r="I118" s="21">
        <v>22737000</v>
      </c>
      <c r="J118" s="21">
        <v>13802000</v>
      </c>
      <c r="K118" s="21">
        <v>860000</v>
      </c>
      <c r="L118" s="13">
        <v>0.8</v>
      </c>
      <c r="N118" s="4"/>
    </row>
    <row r="119" spans="1:14" x14ac:dyDescent="0.35">
      <c r="A119" s="2" t="s">
        <v>6</v>
      </c>
      <c r="B119" s="8" t="s">
        <v>15</v>
      </c>
      <c r="C119" s="8" t="s">
        <v>49</v>
      </c>
      <c r="D119" s="3">
        <v>2011</v>
      </c>
      <c r="E119" s="21">
        <v>1460869</v>
      </c>
      <c r="F119" s="13">
        <v>9.25</v>
      </c>
      <c r="G119" s="21">
        <v>13163000</v>
      </c>
      <c r="H119" s="21">
        <v>5138000</v>
      </c>
      <c r="I119" s="21">
        <v>22387000</v>
      </c>
      <c r="J119" s="21">
        <v>13656000</v>
      </c>
      <c r="K119" s="21">
        <v>690000</v>
      </c>
      <c r="L119" s="13">
        <v>0.85</v>
      </c>
      <c r="N119" s="4"/>
    </row>
    <row r="120" spans="1:14" x14ac:dyDescent="0.35">
      <c r="A120" s="2" t="str">
        <f>A119</f>
        <v>AEX</v>
      </c>
      <c r="B120" s="5" t="str">
        <f>B119</f>
        <v>KPN</v>
      </c>
      <c r="C120" s="5" t="s">
        <v>49</v>
      </c>
      <c r="D120" s="6">
        <f>D119+1</f>
        <v>2012</v>
      </c>
      <c r="E120" s="21"/>
      <c r="G120" s="21"/>
      <c r="H120" s="21"/>
      <c r="I120" s="21"/>
      <c r="J120" s="21"/>
      <c r="K120" s="22"/>
      <c r="L120" s="13"/>
      <c r="N120" s="4"/>
    </row>
    <row r="121" spans="1:14" x14ac:dyDescent="0.35">
      <c r="A121" s="2" t="str">
        <f>A120</f>
        <v>AEX</v>
      </c>
      <c r="B121" s="5" t="str">
        <f>B120</f>
        <v>KPN</v>
      </c>
      <c r="C121" s="5" t="s">
        <v>49</v>
      </c>
      <c r="D121" s="6">
        <f>D120+1</f>
        <v>2013</v>
      </c>
      <c r="E121" s="21"/>
      <c r="G121" s="21"/>
      <c r="H121" s="21"/>
      <c r="I121" s="21"/>
      <c r="J121" s="21"/>
      <c r="K121" s="22"/>
      <c r="L121" s="13"/>
      <c r="N121" s="4"/>
    </row>
    <row r="122" spans="1:14" x14ac:dyDescent="0.35">
      <c r="A122" s="2" t="s">
        <v>6</v>
      </c>
      <c r="B122" s="8" t="s">
        <v>29</v>
      </c>
      <c r="C122" s="8" t="s">
        <v>50</v>
      </c>
      <c r="D122" s="3">
        <v>2006</v>
      </c>
      <c r="E122" s="18">
        <v>1182784</v>
      </c>
      <c r="F122" s="13">
        <v>28.57</v>
      </c>
      <c r="G122" s="18">
        <v>26682000</v>
      </c>
      <c r="H122" s="21">
        <f>1383000+990000</f>
        <v>2373000</v>
      </c>
      <c r="I122" s="21">
        <v>38397000</v>
      </c>
      <c r="J122" s="21"/>
      <c r="K122" s="21"/>
      <c r="L122" s="13"/>
      <c r="N122" s="4"/>
    </row>
    <row r="123" spans="1:14" x14ac:dyDescent="0.35">
      <c r="A123" s="2" t="s">
        <v>6</v>
      </c>
      <c r="B123" s="8" t="s">
        <v>29</v>
      </c>
      <c r="C123" s="8" t="s">
        <v>50</v>
      </c>
      <c r="D123" s="3">
        <v>2007</v>
      </c>
      <c r="E123" s="18">
        <v>1098925</v>
      </c>
      <c r="F123" s="13">
        <v>29.52</v>
      </c>
      <c r="G123" s="18">
        <v>26793000</v>
      </c>
      <c r="H123" s="21">
        <f>2054000+1083000</f>
        <v>3137000</v>
      </c>
      <c r="I123" s="21">
        <v>36314000</v>
      </c>
      <c r="J123" s="21"/>
      <c r="K123" s="21"/>
      <c r="L123" s="13"/>
      <c r="N123" s="4"/>
    </row>
    <row r="124" spans="1:14" x14ac:dyDescent="0.35">
      <c r="A124" s="2" t="s">
        <v>6</v>
      </c>
      <c r="B124" s="8" t="s">
        <v>29</v>
      </c>
      <c r="C124" s="8" t="s">
        <v>50</v>
      </c>
      <c r="D124" s="3">
        <v>2008</v>
      </c>
      <c r="E124" s="18">
        <v>922982</v>
      </c>
      <c r="F124" s="13">
        <v>13.83</v>
      </c>
      <c r="G124" s="18">
        <v>26385000</v>
      </c>
      <c r="H124" s="21">
        <f>54000+1528000</f>
        <v>1582000</v>
      </c>
      <c r="I124" s="21">
        <v>31790000</v>
      </c>
      <c r="J124" s="21"/>
      <c r="K124" s="21"/>
      <c r="L124" s="13"/>
      <c r="N124" s="4"/>
    </row>
    <row r="125" spans="1:14" x14ac:dyDescent="0.35">
      <c r="A125" s="2" t="s">
        <v>6</v>
      </c>
      <c r="B125" s="8" t="s">
        <v>29</v>
      </c>
      <c r="C125" s="8" t="s">
        <v>50</v>
      </c>
      <c r="D125" s="3">
        <v>2009</v>
      </c>
      <c r="E125" s="18">
        <v>927457</v>
      </c>
      <c r="F125" s="13">
        <v>20.68</v>
      </c>
      <c r="G125" s="18">
        <v>20092000</v>
      </c>
      <c r="H125" s="21">
        <f>614000+1469000</f>
        <v>2083000</v>
      </c>
      <c r="I125" s="21">
        <v>30527000</v>
      </c>
      <c r="J125" s="21"/>
      <c r="K125" s="21"/>
      <c r="L125" s="13"/>
      <c r="N125" s="4"/>
    </row>
    <row r="126" spans="1:14" x14ac:dyDescent="0.35">
      <c r="A126" s="2" t="s">
        <v>6</v>
      </c>
      <c r="B126" s="8" t="s">
        <v>29</v>
      </c>
      <c r="C126" s="8" t="s">
        <v>50</v>
      </c>
      <c r="D126" s="3">
        <v>2010</v>
      </c>
      <c r="E126" s="18">
        <v>939861</v>
      </c>
      <c r="F126" s="13">
        <v>22.92</v>
      </c>
      <c r="G126" s="18">
        <v>22287000</v>
      </c>
      <c r="H126" s="21">
        <f>2065000+1422000</f>
        <v>3487000</v>
      </c>
      <c r="I126" s="21">
        <v>32269000</v>
      </c>
      <c r="J126" s="21">
        <v>2818000</v>
      </c>
      <c r="K126" s="21">
        <v>335000</v>
      </c>
      <c r="L126" s="13" t="e">
        <f>259000/#REF!</f>
        <v>#REF!</v>
      </c>
      <c r="N126" s="4"/>
    </row>
    <row r="127" spans="1:14" x14ac:dyDescent="0.35">
      <c r="A127" s="2" t="s">
        <v>6</v>
      </c>
      <c r="B127" s="8" t="s">
        <v>29</v>
      </c>
      <c r="C127" s="8" t="s">
        <v>50</v>
      </c>
      <c r="D127" s="3">
        <v>2011</v>
      </c>
      <c r="E127" s="21">
        <v>926095</v>
      </c>
      <c r="F127" s="13">
        <v>16.28</v>
      </c>
      <c r="G127" s="21">
        <v>22579000</v>
      </c>
      <c r="H127" s="21">
        <v>1187000</v>
      </c>
      <c r="I127" s="21">
        <v>28966000</v>
      </c>
      <c r="J127" s="21">
        <v>3278000</v>
      </c>
      <c r="K127" s="21">
        <v>352000</v>
      </c>
      <c r="L127" s="13">
        <v>0.75</v>
      </c>
      <c r="N127" s="4"/>
    </row>
    <row r="128" spans="1:14" x14ac:dyDescent="0.35">
      <c r="A128" s="2" t="str">
        <f>A127</f>
        <v>AEX</v>
      </c>
      <c r="B128" s="5" t="str">
        <f>B127</f>
        <v>Philips</v>
      </c>
      <c r="C128" s="5" t="s">
        <v>50</v>
      </c>
      <c r="D128" s="6">
        <f>D127+1</f>
        <v>2012</v>
      </c>
      <c r="E128" s="21"/>
      <c r="G128" s="21"/>
      <c r="H128" s="21"/>
      <c r="I128" s="21"/>
      <c r="J128" s="21"/>
      <c r="K128" s="21"/>
      <c r="L128" s="13"/>
      <c r="N128" s="4"/>
    </row>
    <row r="129" spans="1:14" x14ac:dyDescent="0.35">
      <c r="A129" s="2" t="str">
        <f>A128</f>
        <v>AEX</v>
      </c>
      <c r="B129" s="5" t="str">
        <f>B128</f>
        <v>Philips</v>
      </c>
      <c r="C129" s="5" t="s">
        <v>50</v>
      </c>
      <c r="D129" s="6">
        <f>D128+1</f>
        <v>2013</v>
      </c>
      <c r="E129" s="21"/>
      <c r="G129" s="21"/>
      <c r="H129" s="21"/>
      <c r="I129" s="21"/>
      <c r="J129" s="21"/>
      <c r="K129" s="21"/>
      <c r="L129" s="13"/>
      <c r="N129" s="4"/>
    </row>
    <row r="130" spans="1:14" x14ac:dyDescent="0.35">
      <c r="A130" s="2" t="s">
        <v>6</v>
      </c>
      <c r="B130" s="8" t="s">
        <v>30</v>
      </c>
      <c r="C130" s="8" t="s">
        <v>51</v>
      </c>
      <c r="D130" s="3">
        <v>2006</v>
      </c>
      <c r="E130" s="21"/>
      <c r="G130" s="21"/>
      <c r="H130" s="21"/>
      <c r="I130" s="21"/>
      <c r="J130" s="21"/>
      <c r="K130" s="21"/>
      <c r="L130" s="13"/>
      <c r="N130" s="4"/>
    </row>
    <row r="131" spans="1:14" x14ac:dyDescent="0.35">
      <c r="A131" s="2" t="s">
        <v>6</v>
      </c>
      <c r="B131" s="8" t="s">
        <v>30</v>
      </c>
      <c r="C131" s="8" t="s">
        <v>51</v>
      </c>
      <c r="D131" s="3">
        <v>2007</v>
      </c>
      <c r="E131" s="21"/>
      <c r="G131" s="21"/>
      <c r="H131" s="21"/>
      <c r="I131" s="21"/>
      <c r="J131" s="21"/>
      <c r="K131" s="21"/>
      <c r="L131" s="13"/>
      <c r="N131" s="4"/>
    </row>
    <row r="132" spans="1:14" x14ac:dyDescent="0.35">
      <c r="A132" s="2" t="s">
        <v>6</v>
      </c>
      <c r="B132" s="8" t="s">
        <v>30</v>
      </c>
      <c r="C132" s="8" t="s">
        <v>51</v>
      </c>
      <c r="D132" s="3">
        <v>2008</v>
      </c>
      <c r="E132" s="21"/>
      <c r="G132" s="21"/>
      <c r="H132" s="21"/>
      <c r="I132" s="21"/>
      <c r="J132" s="21"/>
      <c r="K132" s="21"/>
      <c r="L132" s="13"/>
      <c r="N132" s="4"/>
    </row>
    <row r="133" spans="1:14" x14ac:dyDescent="0.35">
      <c r="A133" s="2" t="s">
        <v>6</v>
      </c>
      <c r="B133" s="8" t="s">
        <v>30</v>
      </c>
      <c r="C133" s="8" t="s">
        <v>51</v>
      </c>
      <c r="D133" s="3">
        <v>2009</v>
      </c>
      <c r="E133" s="21"/>
      <c r="G133" s="21"/>
      <c r="H133" s="21"/>
      <c r="I133" s="21"/>
      <c r="J133" s="21"/>
      <c r="K133" s="21"/>
      <c r="L133" s="13"/>
      <c r="N133" s="4"/>
    </row>
    <row r="134" spans="1:14" x14ac:dyDescent="0.35">
      <c r="A134" s="2" t="s">
        <v>6</v>
      </c>
      <c r="B134" s="8" t="s">
        <v>30</v>
      </c>
      <c r="C134" s="8" t="s">
        <v>51</v>
      </c>
      <c r="D134" s="3">
        <v>2010</v>
      </c>
      <c r="E134" s="21">
        <v>376150</v>
      </c>
      <c r="F134" s="13">
        <v>8</v>
      </c>
      <c r="G134" s="21"/>
      <c r="H134" s="21"/>
      <c r="I134" s="21"/>
      <c r="J134" s="21"/>
      <c r="K134" s="21"/>
      <c r="L134" s="13"/>
      <c r="N134" s="4"/>
    </row>
    <row r="135" spans="1:14" x14ac:dyDescent="0.35">
      <c r="A135" s="2" t="s">
        <v>6</v>
      </c>
      <c r="B135" s="8" t="s">
        <v>30</v>
      </c>
      <c r="C135" s="8" t="s">
        <v>51</v>
      </c>
      <c r="D135" s="3">
        <v>2011</v>
      </c>
      <c r="E135" s="21">
        <v>383375</v>
      </c>
      <c r="F135" s="13">
        <v>2.46</v>
      </c>
      <c r="G135" s="21">
        <v>4350000</v>
      </c>
      <c r="H135" s="21">
        <v>529000</v>
      </c>
      <c r="I135" s="21">
        <v>4118000</v>
      </c>
      <c r="J135" s="21">
        <v>2368000</v>
      </c>
      <c r="K135" s="21">
        <v>101000</v>
      </c>
      <c r="L135" s="13">
        <v>0.41</v>
      </c>
      <c r="N135" s="4"/>
    </row>
    <row r="136" spans="1:14" x14ac:dyDescent="0.35">
      <c r="A136" s="2" t="str">
        <f>A135</f>
        <v>AEX</v>
      </c>
      <c r="B136" s="5" t="str">
        <f>B135</f>
        <v>PostNL</v>
      </c>
      <c r="C136" s="5" t="s">
        <v>51</v>
      </c>
      <c r="D136" s="6">
        <f>D135+1</f>
        <v>2012</v>
      </c>
      <c r="E136" s="21"/>
      <c r="G136" s="21"/>
      <c r="H136" s="21"/>
      <c r="I136" s="21"/>
      <c r="J136" s="21"/>
      <c r="K136" s="21"/>
      <c r="L136" s="13"/>
      <c r="N136" s="4"/>
    </row>
    <row r="137" spans="1:14" x14ac:dyDescent="0.35">
      <c r="A137" s="2" t="str">
        <f>A136</f>
        <v>AEX</v>
      </c>
      <c r="B137" s="5" t="str">
        <f>B136</f>
        <v>PostNL</v>
      </c>
      <c r="C137" s="5" t="s">
        <v>51</v>
      </c>
      <c r="D137" s="6">
        <f>D136+1</f>
        <v>2013</v>
      </c>
      <c r="E137" s="21"/>
      <c r="G137" s="21"/>
      <c r="H137" s="21"/>
      <c r="I137" s="21"/>
      <c r="J137" s="21"/>
      <c r="K137" s="21"/>
      <c r="L137" s="13"/>
      <c r="N137" s="4"/>
    </row>
    <row r="138" spans="1:14" x14ac:dyDescent="0.35">
      <c r="A138" s="2" t="s">
        <v>6</v>
      </c>
      <c r="B138" s="3" t="s">
        <v>16</v>
      </c>
      <c r="C138" s="3" t="s">
        <v>52</v>
      </c>
      <c r="D138" s="3">
        <v>2006</v>
      </c>
      <c r="E138" s="18">
        <v>116230</v>
      </c>
      <c r="F138" s="13">
        <v>52.4</v>
      </c>
      <c r="G138" s="18">
        <v>8186100</v>
      </c>
      <c r="H138" s="21">
        <v>484200</v>
      </c>
      <c r="I138" s="21">
        <v>2577800</v>
      </c>
      <c r="J138" s="21">
        <v>514000</v>
      </c>
      <c r="K138" s="21"/>
      <c r="L138" s="13"/>
      <c r="N138" s="4"/>
    </row>
    <row r="139" spans="1:14" x14ac:dyDescent="0.35">
      <c r="A139" s="2" t="s">
        <v>6</v>
      </c>
      <c r="B139" s="3" t="s">
        <v>16</v>
      </c>
      <c r="C139" s="3" t="s">
        <v>52</v>
      </c>
      <c r="D139" s="3">
        <v>2007</v>
      </c>
      <c r="E139" s="18">
        <v>116800</v>
      </c>
      <c r="F139" s="13">
        <v>27.02</v>
      </c>
      <c r="G139" s="18">
        <v>9197000</v>
      </c>
      <c r="H139" s="21">
        <v>605600</v>
      </c>
      <c r="I139" s="21">
        <v>3317200</v>
      </c>
      <c r="J139" s="21">
        <v>959000</v>
      </c>
      <c r="K139" s="21"/>
      <c r="L139" s="13">
        <v>1.25</v>
      </c>
      <c r="N139" s="4"/>
    </row>
    <row r="140" spans="1:14" x14ac:dyDescent="0.35">
      <c r="A140" s="2" t="s">
        <v>6</v>
      </c>
      <c r="B140" s="3" t="s">
        <v>16</v>
      </c>
      <c r="C140" s="3" t="s">
        <v>52</v>
      </c>
      <c r="D140" s="3">
        <v>2008</v>
      </c>
      <c r="E140" s="18">
        <v>148900</v>
      </c>
      <c r="F140" s="13">
        <v>14.55</v>
      </c>
      <c r="G140" s="18">
        <v>14033800</v>
      </c>
      <c r="H140" s="21">
        <v>744000</v>
      </c>
      <c r="I140" s="21">
        <v>7722000</v>
      </c>
      <c r="J140" s="21">
        <v>2937300</v>
      </c>
      <c r="K140" s="21"/>
      <c r="L140" s="13">
        <v>0</v>
      </c>
      <c r="N140" s="4"/>
    </row>
    <row r="141" spans="1:14" x14ac:dyDescent="0.35">
      <c r="A141" s="2" t="s">
        <v>6</v>
      </c>
      <c r="B141" s="3" t="s">
        <v>16</v>
      </c>
      <c r="C141" s="3" t="s">
        <v>52</v>
      </c>
      <c r="D141" s="3">
        <v>2009</v>
      </c>
      <c r="E141" s="18">
        <v>169900</v>
      </c>
      <c r="F141" s="13">
        <v>34.9</v>
      </c>
      <c r="G141" s="18">
        <v>12396531.6</v>
      </c>
      <c r="H141" s="21">
        <v>346000</v>
      </c>
      <c r="I141" s="21">
        <v>6858000</v>
      </c>
      <c r="J141" s="21">
        <v>1865200</v>
      </c>
      <c r="K141" s="21"/>
      <c r="L141" s="13">
        <v>0</v>
      </c>
      <c r="N141" s="4"/>
    </row>
    <row r="142" spans="1:14" x14ac:dyDescent="0.35">
      <c r="A142" s="2" t="s">
        <v>6</v>
      </c>
      <c r="B142" s="3" t="s">
        <v>16</v>
      </c>
      <c r="C142" s="3" t="s">
        <v>52</v>
      </c>
      <c r="D142" s="3">
        <v>2010</v>
      </c>
      <c r="E142" s="18">
        <v>169900</v>
      </c>
      <c r="F142" s="13">
        <v>39.5</v>
      </c>
      <c r="G142" s="18">
        <v>14179300</v>
      </c>
      <c r="H142" s="21">
        <v>598800</v>
      </c>
      <c r="I142" s="21">
        <v>7038900</v>
      </c>
      <c r="J142" s="21">
        <v>1688000</v>
      </c>
      <c r="K142" s="21">
        <v>44000</v>
      </c>
      <c r="L142" s="13">
        <v>1.18</v>
      </c>
      <c r="N142" s="4"/>
    </row>
    <row r="143" spans="1:14" x14ac:dyDescent="0.35">
      <c r="A143" s="2" t="s">
        <v>6</v>
      </c>
      <c r="B143" s="3" t="s">
        <v>16</v>
      </c>
      <c r="C143" s="3" t="s">
        <v>52</v>
      </c>
      <c r="D143" s="3">
        <v>2011</v>
      </c>
      <c r="E143" s="21">
        <v>170800</v>
      </c>
      <c r="F143" s="13">
        <v>22.86</v>
      </c>
      <c r="G143" s="21">
        <v>16224900</v>
      </c>
      <c r="H143" s="21">
        <v>304000</v>
      </c>
      <c r="I143" s="21">
        <v>7774500</v>
      </c>
      <c r="J143" s="21">
        <v>2148900</v>
      </c>
      <c r="K143" s="21">
        <v>42600</v>
      </c>
      <c r="L143" s="13">
        <v>1.25</v>
      </c>
      <c r="N143" s="4"/>
    </row>
    <row r="144" spans="1:14" x14ac:dyDescent="0.35">
      <c r="A144" s="2" t="str">
        <f>A143</f>
        <v>AEX</v>
      </c>
      <c r="B144" s="5" t="str">
        <f>B143</f>
        <v>Randstad</v>
      </c>
      <c r="C144" s="5" t="s">
        <v>52</v>
      </c>
      <c r="D144" s="6">
        <f>D143+1</f>
        <v>2012</v>
      </c>
      <c r="E144" s="21"/>
      <c r="G144" s="21"/>
      <c r="H144" s="21"/>
      <c r="I144" s="21"/>
      <c r="J144" s="21"/>
      <c r="K144" s="21"/>
      <c r="L144" s="13"/>
      <c r="N144" s="4"/>
    </row>
    <row r="145" spans="1:14" x14ac:dyDescent="0.35">
      <c r="A145" s="2" t="str">
        <f>A144</f>
        <v>AEX</v>
      </c>
      <c r="B145" s="5" t="str">
        <f>B144</f>
        <v>Randstad</v>
      </c>
      <c r="C145" s="5" t="s">
        <v>52</v>
      </c>
      <c r="D145" s="6">
        <f>D144+1</f>
        <v>2013</v>
      </c>
      <c r="E145" s="21"/>
      <c r="G145" s="21"/>
      <c r="H145" s="21"/>
      <c r="I145" s="21"/>
      <c r="J145" s="21"/>
      <c r="K145" s="21"/>
      <c r="L145" s="13"/>
      <c r="N145" s="4"/>
    </row>
    <row r="146" spans="1:14" x14ac:dyDescent="0.35">
      <c r="A146" s="2" t="s">
        <v>6</v>
      </c>
      <c r="B146" s="3" t="s">
        <v>17</v>
      </c>
      <c r="C146" s="8" t="s">
        <v>24</v>
      </c>
      <c r="D146" s="3">
        <v>2006</v>
      </c>
      <c r="E146" s="18">
        <v>668380</v>
      </c>
      <c r="F146" s="13">
        <v>12.92</v>
      </c>
      <c r="G146" s="18">
        <v>7935000</v>
      </c>
      <c r="H146" s="21">
        <f>1294000+746000</f>
        <v>2040000</v>
      </c>
      <c r="I146" s="21">
        <v>12713000</v>
      </c>
      <c r="J146" s="21">
        <v>4796000</v>
      </c>
      <c r="K146" s="21"/>
      <c r="L146" s="13"/>
      <c r="N146" s="4"/>
    </row>
    <row r="147" spans="1:14" x14ac:dyDescent="0.35">
      <c r="A147" s="2" t="s">
        <v>6</v>
      </c>
      <c r="B147" s="3" t="s">
        <v>17</v>
      </c>
      <c r="C147" s="8" t="s">
        <v>24</v>
      </c>
      <c r="D147" s="3">
        <v>2007</v>
      </c>
      <c r="E147" s="18">
        <v>1256500</v>
      </c>
      <c r="F147" s="13">
        <v>13.65</v>
      </c>
      <c r="G147" s="18">
        <v>6693000</v>
      </c>
      <c r="H147" s="21">
        <f>1296000+539000</f>
        <v>1835000</v>
      </c>
      <c r="I147" s="21">
        <v>13298000</v>
      </c>
      <c r="J147" s="21">
        <v>3877000</v>
      </c>
      <c r="K147" s="21"/>
      <c r="L147" s="13">
        <v>0.31</v>
      </c>
      <c r="N147" s="4"/>
    </row>
    <row r="148" spans="1:14" x14ac:dyDescent="0.35">
      <c r="A148" s="2" t="s">
        <v>6</v>
      </c>
      <c r="B148" s="3" t="s">
        <v>17</v>
      </c>
      <c r="C148" s="8" t="s">
        <v>24</v>
      </c>
      <c r="D148" s="3">
        <v>2008</v>
      </c>
      <c r="E148" s="18">
        <v>1089500</v>
      </c>
      <c r="F148" s="13">
        <v>8.42</v>
      </c>
      <c r="G148" s="18">
        <v>6721000</v>
      </c>
      <c r="H148" s="21">
        <v>1135000</v>
      </c>
      <c r="I148" s="21">
        <v>13251000</v>
      </c>
      <c r="J148" s="21">
        <v>8008000</v>
      </c>
      <c r="K148" s="21"/>
      <c r="L148" s="13">
        <v>0.43</v>
      </c>
      <c r="N148" s="4"/>
    </row>
    <row r="149" spans="1:14" x14ac:dyDescent="0.35">
      <c r="A149" s="2" t="s">
        <v>6</v>
      </c>
      <c r="B149" s="3" t="s">
        <v>17</v>
      </c>
      <c r="C149" s="8" t="s">
        <v>24</v>
      </c>
      <c r="D149" s="3">
        <v>2009</v>
      </c>
      <c r="E149" s="18">
        <v>1131400</v>
      </c>
      <c r="F149" s="13">
        <v>8.6</v>
      </c>
      <c r="G149" s="18">
        <f>6071000*1.12</f>
        <v>6799520.0000000009</v>
      </c>
      <c r="H149" s="21">
        <f>1379000*1.12</f>
        <v>1544480.0000000002</v>
      </c>
      <c r="I149" s="21">
        <v>12694000</v>
      </c>
      <c r="J149" s="21">
        <v>6391000</v>
      </c>
      <c r="K149" s="21"/>
      <c r="L149" s="13">
        <v>0.11</v>
      </c>
      <c r="N149" s="4"/>
    </row>
    <row r="150" spans="1:14" x14ac:dyDescent="0.35">
      <c r="A150" s="2" t="s">
        <v>6</v>
      </c>
      <c r="B150" s="3" t="s">
        <v>17</v>
      </c>
      <c r="C150" s="8" t="s">
        <v>24</v>
      </c>
      <c r="D150" s="3">
        <v>2010</v>
      </c>
      <c r="E150" s="18">
        <v>1205110</v>
      </c>
      <c r="F150" s="13">
        <v>9.2620000000000005</v>
      </c>
      <c r="G150" s="18">
        <f>6055000*1.16</f>
        <v>7023799.9999999991</v>
      </c>
      <c r="H150" s="21">
        <f>1676000*1.16</f>
        <v>1944159.9999999998</v>
      </c>
      <c r="I150" s="21">
        <v>12943000</v>
      </c>
      <c r="J150" s="21">
        <v>6138000</v>
      </c>
      <c r="K150" s="21">
        <v>284000</v>
      </c>
      <c r="L150" s="13">
        <v>0.3</v>
      </c>
      <c r="N150" s="4"/>
    </row>
    <row r="151" spans="1:14" x14ac:dyDescent="0.35">
      <c r="A151" s="2" t="s">
        <v>6</v>
      </c>
      <c r="B151" s="3" t="s">
        <v>17</v>
      </c>
      <c r="C151" s="8" t="s">
        <v>24</v>
      </c>
      <c r="D151" s="3">
        <v>2011</v>
      </c>
      <c r="E151" s="21">
        <v>1211700</v>
      </c>
      <c r="F151" s="13">
        <v>9.01</v>
      </c>
      <c r="G151" s="21">
        <f>6002000*1.2</f>
        <v>7202400</v>
      </c>
      <c r="H151" s="21">
        <f>1735000*1.2</f>
        <v>2082000</v>
      </c>
      <c r="I151" s="21">
        <f>11503000*1.2</f>
        <v>13803600</v>
      </c>
      <c r="J151" s="21">
        <f>4865000*1.2</f>
        <v>5838000</v>
      </c>
      <c r="K151" s="21">
        <v>252000</v>
      </c>
      <c r="L151" s="13">
        <v>0.44</v>
      </c>
      <c r="N151" s="4"/>
    </row>
    <row r="152" spans="1:14" x14ac:dyDescent="0.35">
      <c r="A152" s="2" t="str">
        <f>A151</f>
        <v>AEX</v>
      </c>
      <c r="B152" s="5" t="str">
        <f>B151</f>
        <v>Reed Elsevier</v>
      </c>
      <c r="C152" s="5" t="s">
        <v>24</v>
      </c>
      <c r="D152" s="6">
        <f>D151+1</f>
        <v>2012</v>
      </c>
      <c r="E152" s="21"/>
      <c r="G152" s="21"/>
      <c r="H152" s="21"/>
      <c r="I152" s="21"/>
      <c r="J152" s="21"/>
      <c r="K152" s="21"/>
      <c r="L152" s="13"/>
      <c r="N152" s="4"/>
    </row>
    <row r="153" spans="1:14" x14ac:dyDescent="0.35">
      <c r="A153" s="2" t="str">
        <f>A152</f>
        <v>AEX</v>
      </c>
      <c r="B153" s="5" t="str">
        <f>B152</f>
        <v>Reed Elsevier</v>
      </c>
      <c r="C153" s="5" t="s">
        <v>24</v>
      </c>
      <c r="D153" s="6">
        <f>D152+1</f>
        <v>2013</v>
      </c>
      <c r="E153" s="21"/>
      <c r="G153" s="21"/>
      <c r="H153" s="21"/>
      <c r="I153" s="21"/>
      <c r="J153" s="21"/>
      <c r="K153" s="21"/>
      <c r="L153" s="13"/>
      <c r="N153" s="4"/>
    </row>
    <row r="154" spans="1:14" x14ac:dyDescent="0.35">
      <c r="A154" s="2" t="s">
        <v>6</v>
      </c>
      <c r="B154" s="8" t="s">
        <v>31</v>
      </c>
      <c r="C154" s="8" t="s">
        <v>53</v>
      </c>
      <c r="D154" s="3">
        <v>2006</v>
      </c>
      <c r="E154" s="18">
        <v>6629478</v>
      </c>
      <c r="F154" s="13">
        <v>26.72</v>
      </c>
      <c r="G154" s="18">
        <v>242322199.99999997</v>
      </c>
      <c r="H154" s="21">
        <v>35969280</v>
      </c>
      <c r="I154" s="21">
        <v>0</v>
      </c>
      <c r="J154" s="21">
        <v>0</v>
      </c>
      <c r="K154" s="21">
        <v>0</v>
      </c>
      <c r="L154" s="13">
        <v>0</v>
      </c>
      <c r="N154" s="4"/>
    </row>
    <row r="155" spans="1:14" x14ac:dyDescent="0.35">
      <c r="A155" s="2" t="s">
        <v>6</v>
      </c>
      <c r="B155" s="8" t="s">
        <v>31</v>
      </c>
      <c r="C155" s="8" t="s">
        <v>53</v>
      </c>
      <c r="D155" s="3">
        <v>2007</v>
      </c>
      <c r="E155" s="18">
        <v>6263800</v>
      </c>
      <c r="F155" s="13">
        <v>28.75</v>
      </c>
      <c r="G155" s="18">
        <v>245489579.99999997</v>
      </c>
      <c r="H155" s="21">
        <v>37519439.999999993</v>
      </c>
      <c r="I155" s="21">
        <v>185934299.99999997</v>
      </c>
      <c r="J155" s="21">
        <v>33891419.999999993</v>
      </c>
      <c r="K155" s="21">
        <v>0</v>
      </c>
      <c r="L155" s="13">
        <v>0.67619999999999991</v>
      </c>
      <c r="N155" s="4"/>
    </row>
    <row r="156" spans="1:14" x14ac:dyDescent="0.35">
      <c r="A156" s="2" t="s">
        <v>6</v>
      </c>
      <c r="B156" s="8" t="s">
        <v>31</v>
      </c>
      <c r="C156" s="8" t="s">
        <v>53</v>
      </c>
      <c r="D156" s="3">
        <v>2008</v>
      </c>
      <c r="E156" s="18">
        <v>6121672</v>
      </c>
      <c r="F156" s="13">
        <v>18.75</v>
      </c>
      <c r="G156" s="18">
        <v>343770750</v>
      </c>
      <c r="H156" s="21">
        <v>49242750</v>
      </c>
      <c r="I156" s="21">
        <v>211800750</v>
      </c>
      <c r="J156" s="21">
        <v>36004500</v>
      </c>
      <c r="K156" s="21">
        <v>0</v>
      </c>
      <c r="L156" s="13">
        <v>0.81750000000000012</v>
      </c>
      <c r="N156" s="4"/>
    </row>
    <row r="157" spans="1:14" x14ac:dyDescent="0.35">
      <c r="A157" s="2" t="s">
        <v>6</v>
      </c>
      <c r="B157" s="8" t="s">
        <v>31</v>
      </c>
      <c r="C157" s="8" t="s">
        <v>53</v>
      </c>
      <c r="D157" s="3">
        <v>2009</v>
      </c>
      <c r="E157" s="18">
        <v>6157372</v>
      </c>
      <c r="F157" s="13">
        <v>21.1</v>
      </c>
      <c r="G157" s="18">
        <v>194731600</v>
      </c>
      <c r="H157" s="21">
        <v>25214000</v>
      </c>
      <c r="I157" s="21">
        <v>204526700</v>
      </c>
      <c r="J157" s="21">
        <v>48479900</v>
      </c>
      <c r="K157" s="21">
        <v>379400</v>
      </c>
      <c r="L157" s="13">
        <v>0.81899999999999995</v>
      </c>
      <c r="N157" s="4"/>
    </row>
    <row r="158" spans="1:14" x14ac:dyDescent="0.35">
      <c r="A158" s="2" t="s">
        <v>6</v>
      </c>
      <c r="B158" s="8" t="s">
        <v>31</v>
      </c>
      <c r="C158" s="8" t="s">
        <v>53</v>
      </c>
      <c r="D158" s="3">
        <v>2010</v>
      </c>
      <c r="E158" s="18">
        <v>6139300</v>
      </c>
      <c r="F158" s="13">
        <v>24.73</v>
      </c>
      <c r="G158" s="18">
        <v>276042000</v>
      </c>
      <c r="H158" s="21">
        <v>38951250</v>
      </c>
      <c r="I158" s="21">
        <v>241920000</v>
      </c>
      <c r="J158" s="21">
        <v>54171000</v>
      </c>
      <c r="K158" s="21">
        <v>747000</v>
      </c>
      <c r="L158" s="13">
        <v>0.94500000000000006</v>
      </c>
      <c r="N158" s="4"/>
    </row>
    <row r="159" spans="1:14" x14ac:dyDescent="0.35">
      <c r="A159" s="2" t="s">
        <v>6</v>
      </c>
      <c r="B159" s="8" t="s">
        <v>31</v>
      </c>
      <c r="C159" s="8" t="s">
        <v>53</v>
      </c>
      <c r="D159" s="3">
        <v>2011</v>
      </c>
      <c r="E159" s="21">
        <v>6212500</v>
      </c>
      <c r="F159" s="13">
        <v>28.15</v>
      </c>
      <c r="G159" s="21">
        <v>347609797.5</v>
      </c>
      <c r="H159" s="21">
        <v>52650750</v>
      </c>
      <c r="I159" s="21">
        <v>258942750</v>
      </c>
      <c r="J159" s="21">
        <v>53696250</v>
      </c>
      <c r="K159" s="21">
        <v>1029750</v>
      </c>
      <c r="L159" s="13">
        <v>0.9375</v>
      </c>
      <c r="N159" s="4"/>
    </row>
    <row r="160" spans="1:14" x14ac:dyDescent="0.35">
      <c r="A160" s="2" t="str">
        <f>A159</f>
        <v>AEX</v>
      </c>
      <c r="B160" s="5" t="str">
        <f>B159</f>
        <v>Royal Dutch Shell -A-</v>
      </c>
      <c r="C160" s="5" t="s">
        <v>53</v>
      </c>
      <c r="D160" s="6">
        <f>D159+1</f>
        <v>2012</v>
      </c>
      <c r="E160" s="21"/>
      <c r="G160" s="21"/>
      <c r="H160" s="21"/>
      <c r="I160" s="21"/>
      <c r="J160" s="21"/>
      <c r="K160" s="21"/>
      <c r="L160" s="13"/>
      <c r="N160" s="4"/>
    </row>
    <row r="161" spans="1:14" x14ac:dyDescent="0.35">
      <c r="A161" s="2" t="str">
        <f>A160</f>
        <v>AEX</v>
      </c>
      <c r="B161" s="5" t="str">
        <f>B160</f>
        <v>Royal Dutch Shell -A-</v>
      </c>
      <c r="C161" s="5" t="s">
        <v>53</v>
      </c>
      <c r="D161" s="6">
        <f>D160+1</f>
        <v>2013</v>
      </c>
      <c r="E161" s="21"/>
      <c r="G161" s="21"/>
      <c r="H161" s="21"/>
      <c r="I161" s="21"/>
      <c r="J161" s="21"/>
      <c r="K161" s="21"/>
      <c r="L161" s="13"/>
      <c r="N161" s="4"/>
    </row>
    <row r="162" spans="1:14" x14ac:dyDescent="0.35">
      <c r="A162" s="2" t="s">
        <v>6</v>
      </c>
      <c r="B162" s="8" t="s">
        <v>32</v>
      </c>
      <c r="C162" s="8" t="s">
        <v>47</v>
      </c>
      <c r="D162" s="3">
        <v>2006</v>
      </c>
      <c r="E162" s="18">
        <v>141389</v>
      </c>
      <c r="F162" s="13">
        <v>26.05</v>
      </c>
      <c r="G162" s="18">
        <f>1989700/1.32</f>
        <v>1507348.4848484849</v>
      </c>
      <c r="H162" s="21">
        <f>477500/1.32</f>
        <v>361742.4242424242</v>
      </c>
      <c r="I162" s="21">
        <f>2940336/1.32</f>
        <v>2227527.2727272725</v>
      </c>
      <c r="J162" s="21">
        <f>803891/1.32</f>
        <v>609008.33333333326</v>
      </c>
      <c r="K162" s="21"/>
      <c r="L162" s="13"/>
      <c r="N162" s="4"/>
    </row>
    <row r="163" spans="1:14" x14ac:dyDescent="0.35">
      <c r="A163" s="2" t="s">
        <v>6</v>
      </c>
      <c r="B163" s="8" t="s">
        <v>32</v>
      </c>
      <c r="C163" s="8" t="s">
        <v>47</v>
      </c>
      <c r="D163" s="3">
        <v>2007</v>
      </c>
      <c r="E163" s="18">
        <v>144131</v>
      </c>
      <c r="F163" s="13">
        <v>21.6</v>
      </c>
      <c r="G163" s="18">
        <f>2871200/1.45</f>
        <v>1980137.9310344828</v>
      </c>
      <c r="H163" s="21">
        <f>548300/1.45</f>
        <v>378137.93103448278</v>
      </c>
      <c r="I163" s="21">
        <f>3634622/1.45</f>
        <v>2506635.8620689656</v>
      </c>
      <c r="J163" s="21">
        <f>966427/1.45</f>
        <v>666501.37931034481</v>
      </c>
      <c r="K163" s="21"/>
      <c r="L163" s="13">
        <v>0.63</v>
      </c>
      <c r="N163" s="4"/>
    </row>
    <row r="164" spans="1:14" x14ac:dyDescent="0.35">
      <c r="A164" s="2" t="s">
        <v>6</v>
      </c>
      <c r="B164" s="8" t="s">
        <v>32</v>
      </c>
      <c r="C164" s="8" t="s">
        <v>47</v>
      </c>
      <c r="D164" s="3">
        <v>2008</v>
      </c>
      <c r="E164" s="18">
        <v>145743</v>
      </c>
      <c r="F164" s="13">
        <v>9.35</v>
      </c>
      <c r="G164" s="18">
        <f>3060300/1.33</f>
        <v>2300977.4436090225</v>
      </c>
      <c r="H164" s="21">
        <f>530100/1.33</f>
        <v>398571.42857142852</v>
      </c>
      <c r="I164" s="21">
        <f>4344994/1.45</f>
        <v>2996547.5862068967</v>
      </c>
      <c r="J164" s="21">
        <f>1466303/1.45</f>
        <v>1011243.4482758621</v>
      </c>
      <c r="K164" s="21"/>
      <c r="L164" s="13">
        <v>0.63</v>
      </c>
      <c r="N164" s="4"/>
    </row>
    <row r="165" spans="1:14" x14ac:dyDescent="0.35">
      <c r="A165" s="2" t="s">
        <v>6</v>
      </c>
      <c r="B165" s="8" t="s">
        <v>32</v>
      </c>
      <c r="C165" s="8" t="s">
        <v>47</v>
      </c>
      <c r="D165" s="3">
        <v>2009</v>
      </c>
      <c r="E165" s="18">
        <v>150100</v>
      </c>
      <c r="F165" s="13">
        <v>13.77</v>
      </c>
      <c r="G165" s="18">
        <f>2956500/1.43</f>
        <v>2067482.5174825175</v>
      </c>
      <c r="H165" s="21">
        <f>613300/1.43</f>
        <v>428881.11888111889</v>
      </c>
      <c r="I165" s="21">
        <f>4658481/1.43</f>
        <v>3257679.0209790212</v>
      </c>
      <c r="J165" s="21">
        <f>1327400/1.43</f>
        <v>928251.74825174827</v>
      </c>
      <c r="K165" s="21"/>
      <c r="L165" s="13">
        <v>0.47</v>
      </c>
      <c r="N165" s="4"/>
    </row>
    <row r="166" spans="1:14" x14ac:dyDescent="0.35">
      <c r="A166" s="2" t="s">
        <v>6</v>
      </c>
      <c r="B166" s="8" t="s">
        <v>32</v>
      </c>
      <c r="C166" s="8" t="s">
        <v>47</v>
      </c>
      <c r="D166" s="3">
        <v>2010</v>
      </c>
      <c r="E166" s="18">
        <v>168668</v>
      </c>
      <c r="F166" s="13">
        <v>17.225000000000001</v>
      </c>
      <c r="G166" s="18">
        <f>3055800/1.33</f>
        <v>2297593.9849624061</v>
      </c>
      <c r="H166" s="21">
        <f>688400/1.33</f>
        <v>517593.98496240599</v>
      </c>
      <c r="I166" s="21">
        <f>5090987/1.33</f>
        <v>3827809.7744360901</v>
      </c>
      <c r="J166" s="21">
        <f>1580880/1.33</f>
        <v>1188631.5789473683</v>
      </c>
      <c r="K166" s="21">
        <v>103400</v>
      </c>
      <c r="L166" s="13">
        <v>0.53</v>
      </c>
      <c r="N166" s="4"/>
    </row>
    <row r="167" spans="1:14" x14ac:dyDescent="0.35">
      <c r="A167" s="2" t="s">
        <v>6</v>
      </c>
      <c r="B167" s="8" t="s">
        <v>32</v>
      </c>
      <c r="C167" s="8" t="s">
        <v>47</v>
      </c>
      <c r="D167" s="3">
        <v>2011</v>
      </c>
      <c r="E167" s="21">
        <v>170342</v>
      </c>
      <c r="F167" s="13">
        <v>15.92</v>
      </c>
      <c r="G167" s="21">
        <f>3156830/1.3</f>
        <v>2428330.769230769</v>
      </c>
      <c r="H167" s="21">
        <f>813000/1.3</f>
        <v>625384.61538461538</v>
      </c>
      <c r="I167" s="21">
        <f>5290061/1.3</f>
        <v>4069277.692307692</v>
      </c>
      <c r="J167" s="21">
        <f>1935025/1.3</f>
        <v>1488480.7692307692</v>
      </c>
      <c r="K167" s="21">
        <v>63000</v>
      </c>
      <c r="L167" s="13">
        <v>0</v>
      </c>
      <c r="N167" s="4"/>
    </row>
    <row r="168" spans="1:14" x14ac:dyDescent="0.35">
      <c r="A168" s="2" t="str">
        <f>A167</f>
        <v>AEX</v>
      </c>
      <c r="B168" s="5" t="str">
        <f>B167</f>
        <v>SBM Offshore</v>
      </c>
      <c r="C168" s="5" t="s">
        <v>47</v>
      </c>
      <c r="D168" s="6">
        <f>D167+1</f>
        <v>2012</v>
      </c>
      <c r="E168" s="21"/>
      <c r="G168" s="21"/>
      <c r="H168" s="21"/>
      <c r="I168" s="21"/>
      <c r="J168" s="21"/>
      <c r="K168" s="21"/>
      <c r="L168" s="13"/>
      <c r="N168" s="4"/>
    </row>
    <row r="169" spans="1:14" x14ac:dyDescent="0.35">
      <c r="A169" s="2" t="str">
        <f>A168</f>
        <v>AEX</v>
      </c>
      <c r="B169" s="5" t="str">
        <f>B168</f>
        <v>SBM Offshore</v>
      </c>
      <c r="C169" s="5" t="s">
        <v>47</v>
      </c>
      <c r="D169" s="6">
        <f>D168+1</f>
        <v>2013</v>
      </c>
      <c r="E169" s="21"/>
      <c r="G169" s="21"/>
      <c r="H169" s="21"/>
      <c r="I169" s="21"/>
      <c r="J169" s="21"/>
      <c r="K169" s="21"/>
      <c r="L169" s="13"/>
      <c r="N169" s="4"/>
    </row>
    <row r="170" spans="1:14" x14ac:dyDescent="0.35">
      <c r="A170" s="2" t="s">
        <v>6</v>
      </c>
      <c r="B170" s="8" t="s">
        <v>33</v>
      </c>
      <c r="C170" s="8" t="s">
        <v>51</v>
      </c>
      <c r="D170" s="3">
        <v>2006</v>
      </c>
      <c r="E170" s="18"/>
      <c r="G170" s="18"/>
      <c r="H170" s="21"/>
      <c r="I170" s="21"/>
      <c r="J170" s="21"/>
      <c r="K170" s="21"/>
      <c r="L170" s="13"/>
      <c r="N170" s="4"/>
    </row>
    <row r="171" spans="1:14" x14ac:dyDescent="0.35">
      <c r="A171" s="2" t="s">
        <v>6</v>
      </c>
      <c r="B171" s="8" t="s">
        <v>33</v>
      </c>
      <c r="C171" s="8" t="s">
        <v>51</v>
      </c>
      <c r="D171" s="3">
        <v>2007</v>
      </c>
      <c r="E171" s="18"/>
      <c r="G171" s="18"/>
      <c r="H171" s="21"/>
      <c r="I171" s="21"/>
      <c r="J171" s="21"/>
      <c r="K171" s="21"/>
      <c r="L171" s="13"/>
      <c r="N171" s="4"/>
    </row>
    <row r="172" spans="1:14" x14ac:dyDescent="0.35">
      <c r="A172" s="2" t="s">
        <v>6</v>
      </c>
      <c r="B172" s="8" t="s">
        <v>33</v>
      </c>
      <c r="C172" s="8" t="s">
        <v>51</v>
      </c>
      <c r="D172" s="3">
        <v>2008</v>
      </c>
      <c r="E172" s="18"/>
      <c r="G172" s="18"/>
      <c r="H172" s="21"/>
      <c r="I172" s="21"/>
      <c r="J172" s="21"/>
      <c r="K172" s="21"/>
      <c r="L172" s="13"/>
      <c r="N172" s="4"/>
    </row>
    <row r="173" spans="1:14" x14ac:dyDescent="0.35">
      <c r="A173" s="2" t="s">
        <v>6</v>
      </c>
      <c r="B173" s="8" t="s">
        <v>33</v>
      </c>
      <c r="C173" s="8" t="s">
        <v>51</v>
      </c>
      <c r="D173" s="3">
        <v>2009</v>
      </c>
      <c r="E173" s="18"/>
      <c r="G173" s="18"/>
      <c r="H173" s="21"/>
      <c r="I173" s="21"/>
      <c r="J173" s="21"/>
      <c r="K173" s="21"/>
      <c r="L173" s="13"/>
      <c r="N173" s="4"/>
    </row>
    <row r="174" spans="1:14" x14ac:dyDescent="0.35">
      <c r="A174" s="2" t="s">
        <v>6</v>
      </c>
      <c r="B174" s="8" t="s">
        <v>33</v>
      </c>
      <c r="C174" s="8" t="s">
        <v>51</v>
      </c>
      <c r="D174" s="3">
        <v>2010</v>
      </c>
      <c r="E174" s="21">
        <v>542749</v>
      </c>
      <c r="F174" s="13">
        <v>9</v>
      </c>
      <c r="G174" s="18">
        <v>7053000</v>
      </c>
      <c r="H174" s="21">
        <v>389000</v>
      </c>
      <c r="I174" s="21">
        <v>5531000</v>
      </c>
      <c r="J174" s="21">
        <v>468000</v>
      </c>
      <c r="K174" s="21">
        <v>59000</v>
      </c>
      <c r="L174" s="13"/>
      <c r="N174" s="4"/>
    </row>
    <row r="175" spans="1:14" x14ac:dyDescent="0.35">
      <c r="A175" s="2" t="s">
        <v>6</v>
      </c>
      <c r="B175" s="8" t="s">
        <v>33</v>
      </c>
      <c r="C175" s="8" t="s">
        <v>51</v>
      </c>
      <c r="D175" s="3">
        <v>2011</v>
      </c>
      <c r="E175" s="21">
        <v>542749</v>
      </c>
      <c r="F175" s="13">
        <v>5.77</v>
      </c>
      <c r="G175" s="21">
        <v>7246000</v>
      </c>
      <c r="H175" s="21">
        <v>389000</v>
      </c>
      <c r="I175" s="21">
        <v>4701000</v>
      </c>
      <c r="J175" s="21">
        <v>396000</v>
      </c>
      <c r="K175" s="21">
        <v>66000</v>
      </c>
      <c r="L175" s="13">
        <v>0.04</v>
      </c>
      <c r="N175" s="4"/>
    </row>
    <row r="176" spans="1:14" x14ac:dyDescent="0.35">
      <c r="A176" s="2" t="str">
        <f>A175</f>
        <v>AEX</v>
      </c>
      <c r="B176" s="5" t="str">
        <f>B175</f>
        <v>TNT Express</v>
      </c>
      <c r="C176" s="5" t="s">
        <v>51</v>
      </c>
      <c r="D176" s="6">
        <f>D175+1</f>
        <v>2012</v>
      </c>
      <c r="E176" s="21"/>
      <c r="G176" s="21"/>
      <c r="H176" s="21"/>
      <c r="I176" s="21"/>
      <c r="J176" s="21"/>
      <c r="K176" s="21"/>
      <c r="L176" s="13"/>
      <c r="N176" s="4"/>
    </row>
    <row r="177" spans="1:14" x14ac:dyDescent="0.35">
      <c r="A177" s="2" t="str">
        <f>A176</f>
        <v>AEX</v>
      </c>
      <c r="B177" s="5" t="str">
        <f>B176</f>
        <v>TNT Express</v>
      </c>
      <c r="C177" s="5" t="s">
        <v>51</v>
      </c>
      <c r="D177" s="6">
        <f>D176+1</f>
        <v>2013</v>
      </c>
      <c r="E177" s="21"/>
      <c r="G177" s="21"/>
      <c r="H177" s="21"/>
      <c r="I177" s="21"/>
      <c r="J177" s="21"/>
      <c r="K177" s="21"/>
      <c r="L177" s="13"/>
      <c r="N177" s="4"/>
    </row>
    <row r="178" spans="1:14" x14ac:dyDescent="0.35">
      <c r="A178" s="2" t="s">
        <v>6</v>
      </c>
      <c r="B178" s="8" t="s">
        <v>36</v>
      </c>
      <c r="C178" s="8" t="s">
        <v>46</v>
      </c>
      <c r="D178" s="3">
        <v>2006</v>
      </c>
      <c r="E178" s="18">
        <v>46580</v>
      </c>
      <c r="F178" s="13">
        <v>100.8</v>
      </c>
      <c r="G178" s="18">
        <v>489900</v>
      </c>
      <c r="H178" s="21">
        <v>2227400</v>
      </c>
      <c r="I178" s="21">
        <v>10842900</v>
      </c>
      <c r="J178" s="21">
        <v>2672400</v>
      </c>
      <c r="K178" s="21"/>
      <c r="L178" s="13"/>
      <c r="N178" s="4"/>
    </row>
    <row r="179" spans="1:14" x14ac:dyDescent="0.35">
      <c r="A179" s="2" t="s">
        <v>6</v>
      </c>
      <c r="B179" s="8" t="s">
        <v>36</v>
      </c>
      <c r="C179" s="8" t="s">
        <v>46</v>
      </c>
      <c r="D179" s="3">
        <v>2007</v>
      </c>
      <c r="E179" s="18">
        <v>60274</v>
      </c>
      <c r="F179" s="13">
        <v>149.5</v>
      </c>
      <c r="G179" s="18">
        <v>879500</v>
      </c>
      <c r="H179" s="21">
        <v>1067400</v>
      </c>
      <c r="I179" s="21">
        <v>25428000</v>
      </c>
      <c r="J179" s="21">
        <v>7109400</v>
      </c>
      <c r="K179" s="21"/>
      <c r="L179" s="13">
        <v>7.06</v>
      </c>
      <c r="N179" s="4"/>
    </row>
    <row r="180" spans="1:14" x14ac:dyDescent="0.35">
      <c r="A180" s="2" t="s">
        <v>6</v>
      </c>
      <c r="B180" s="8" t="s">
        <v>36</v>
      </c>
      <c r="C180" s="8" t="s">
        <v>46</v>
      </c>
      <c r="D180" s="3">
        <v>2008</v>
      </c>
      <c r="E180" s="18">
        <v>91544</v>
      </c>
      <c r="F180" s="13">
        <v>106.75</v>
      </c>
      <c r="G180" s="18">
        <v>1422700</v>
      </c>
      <c r="H180" s="21">
        <v>-596900</v>
      </c>
      <c r="I180" s="21">
        <v>24924000</v>
      </c>
      <c r="J180" s="21">
        <v>8850000</v>
      </c>
      <c r="K180" s="21"/>
      <c r="L180" s="13">
        <v>7.45</v>
      </c>
      <c r="N180" s="4"/>
    </row>
    <row r="181" spans="1:14" x14ac:dyDescent="0.35">
      <c r="A181" s="2" t="s">
        <v>6</v>
      </c>
      <c r="B181" s="8" t="s">
        <v>36</v>
      </c>
      <c r="C181" s="8" t="s">
        <v>46</v>
      </c>
      <c r="D181" s="3">
        <v>2009</v>
      </c>
      <c r="E181" s="18">
        <v>91265</v>
      </c>
      <c r="F181" s="13">
        <v>153.69999999999999</v>
      </c>
      <c r="G181" s="18">
        <v>1472900</v>
      </c>
      <c r="H181" s="21">
        <v>-1026000</v>
      </c>
      <c r="I181" s="21">
        <v>22645000</v>
      </c>
      <c r="J181" s="21">
        <v>8289000</v>
      </c>
      <c r="K181" s="21"/>
      <c r="L181" s="13">
        <v>8.01</v>
      </c>
      <c r="N181" s="4"/>
    </row>
    <row r="182" spans="1:14" x14ac:dyDescent="0.35">
      <c r="A182" s="2" t="s">
        <v>6</v>
      </c>
      <c r="B182" s="8" t="s">
        <v>36</v>
      </c>
      <c r="C182" s="8" t="s">
        <v>46</v>
      </c>
      <c r="D182" s="3">
        <v>2010</v>
      </c>
      <c r="E182" s="18">
        <v>92845</v>
      </c>
      <c r="F182" s="13">
        <v>147.75</v>
      </c>
      <c r="G182" s="18">
        <v>1484000</v>
      </c>
      <c r="H182" s="21">
        <v>3045000</v>
      </c>
      <c r="I182" s="21">
        <v>24977100</v>
      </c>
      <c r="J182" s="21">
        <v>9609000</v>
      </c>
      <c r="K182" s="21">
        <v>350000</v>
      </c>
      <c r="L182" s="13">
        <v>8</v>
      </c>
      <c r="N182" s="4"/>
    </row>
    <row r="183" spans="1:14" x14ac:dyDescent="0.35">
      <c r="A183" s="2" t="s">
        <v>6</v>
      </c>
      <c r="B183" s="8" t="s">
        <v>36</v>
      </c>
      <c r="C183" s="8" t="s">
        <v>46</v>
      </c>
      <c r="D183" s="3">
        <v>2011</v>
      </c>
      <c r="E183" s="21">
        <v>93291</v>
      </c>
      <c r="F183" s="13">
        <v>138.9</v>
      </c>
      <c r="G183" s="21">
        <v>1463000</v>
      </c>
      <c r="H183" s="21">
        <v>2132000</v>
      </c>
      <c r="I183" s="21">
        <v>26403000</v>
      </c>
      <c r="J183" s="21">
        <v>10127000</v>
      </c>
      <c r="K183" s="21">
        <v>383000</v>
      </c>
      <c r="L183" s="13">
        <v>8</v>
      </c>
      <c r="N183" s="4"/>
    </row>
    <row r="184" spans="1:14" x14ac:dyDescent="0.35">
      <c r="A184" s="2" t="str">
        <f>A183</f>
        <v>AEX</v>
      </c>
      <c r="B184" s="5" t="str">
        <f>B183</f>
        <v>UniBail-Rodamco</v>
      </c>
      <c r="C184" s="5" t="s">
        <v>46</v>
      </c>
      <c r="D184" s="6">
        <f>D183+1</f>
        <v>2012</v>
      </c>
      <c r="E184" s="21"/>
      <c r="G184" s="21"/>
      <c r="H184" s="21"/>
      <c r="I184" s="21"/>
      <c r="J184" s="21"/>
      <c r="K184" s="21"/>
      <c r="L184" s="13"/>
      <c r="N184" s="4"/>
    </row>
    <row r="185" spans="1:14" x14ac:dyDescent="0.35">
      <c r="A185" s="2" t="str">
        <f>A184</f>
        <v>AEX</v>
      </c>
      <c r="B185" s="5" t="str">
        <f>B184</f>
        <v>UniBail-Rodamco</v>
      </c>
      <c r="C185" s="5" t="s">
        <v>46</v>
      </c>
      <c r="D185" s="6">
        <f>D184+1</f>
        <v>2013</v>
      </c>
      <c r="E185" s="21"/>
      <c r="G185" s="21"/>
      <c r="H185" s="21"/>
      <c r="I185" s="21"/>
      <c r="J185" s="21"/>
      <c r="K185" s="21"/>
      <c r="L185" s="13"/>
      <c r="N185" s="4"/>
    </row>
    <row r="186" spans="1:14" x14ac:dyDescent="0.35">
      <c r="A186" s="2" t="s">
        <v>6</v>
      </c>
      <c r="B186" s="8" t="s">
        <v>35</v>
      </c>
      <c r="C186" s="8" t="s">
        <v>54</v>
      </c>
      <c r="D186" s="3">
        <v>2006</v>
      </c>
      <c r="E186" s="18">
        <v>2972460</v>
      </c>
      <c r="F186" s="13">
        <v>20.7</v>
      </c>
      <c r="G186" s="18">
        <v>39642000</v>
      </c>
      <c r="H186" s="21">
        <v>5408000</v>
      </c>
      <c r="I186" s="21">
        <f>27571000+9501000</f>
        <v>37072000</v>
      </c>
      <c r="J186" s="21">
        <v>11516000</v>
      </c>
      <c r="K186" s="21"/>
      <c r="L186" s="13"/>
      <c r="N186" s="4"/>
    </row>
    <row r="187" spans="1:14" x14ac:dyDescent="0.35">
      <c r="A187" s="2" t="s">
        <v>6</v>
      </c>
      <c r="B187" s="8" t="s">
        <v>35</v>
      </c>
      <c r="C187" s="8" t="s">
        <v>54</v>
      </c>
      <c r="D187" s="3">
        <v>2007</v>
      </c>
      <c r="E187" s="18">
        <v>2976130</v>
      </c>
      <c r="F187" s="13">
        <v>25.15</v>
      </c>
      <c r="G187" s="18">
        <v>40187000</v>
      </c>
      <c r="H187" s="21">
        <v>5242000</v>
      </c>
      <c r="I187" s="21">
        <f>27374000+9928000</f>
        <v>37302000</v>
      </c>
      <c r="J187" s="21">
        <v>10924000</v>
      </c>
      <c r="K187" s="21"/>
      <c r="L187" s="13">
        <v>0.75</v>
      </c>
      <c r="N187" s="4"/>
    </row>
    <row r="188" spans="1:14" x14ac:dyDescent="0.35">
      <c r="A188" s="2" t="s">
        <v>6</v>
      </c>
      <c r="B188" s="8" t="s">
        <v>35</v>
      </c>
      <c r="C188" s="8" t="s">
        <v>54</v>
      </c>
      <c r="D188" s="3">
        <v>2008</v>
      </c>
      <c r="E188" s="18">
        <v>2905900</v>
      </c>
      <c r="F188" s="13">
        <v>17.34</v>
      </c>
      <c r="G188" s="18">
        <v>40523000</v>
      </c>
      <c r="H188" s="21">
        <v>7167000</v>
      </c>
      <c r="I188" s="21">
        <f>24967000+11175000</f>
        <v>36142000</v>
      </c>
      <c r="J188" s="21">
        <v>11970000</v>
      </c>
      <c r="K188" s="21"/>
      <c r="L188" s="13">
        <v>0.77</v>
      </c>
      <c r="N188" s="4"/>
    </row>
    <row r="189" spans="1:14" x14ac:dyDescent="0.35">
      <c r="A189" s="2" t="s">
        <v>6</v>
      </c>
      <c r="B189" s="8" t="s">
        <v>35</v>
      </c>
      <c r="C189" s="8" t="s">
        <v>54</v>
      </c>
      <c r="D189" s="3">
        <v>2009</v>
      </c>
      <c r="E189" s="18">
        <v>2889999</v>
      </c>
      <c r="F189" s="13">
        <v>22.75</v>
      </c>
      <c r="G189" s="18">
        <v>39823000</v>
      </c>
      <c r="H189" s="21">
        <v>6452000</v>
      </c>
      <c r="I189" s="21">
        <v>37016000</v>
      </c>
      <c r="J189" s="21">
        <v>12881000</v>
      </c>
      <c r="K189" s="21">
        <v>504000</v>
      </c>
      <c r="L189" s="13">
        <v>0.47</v>
      </c>
      <c r="N189" s="4"/>
    </row>
    <row r="190" spans="1:14" x14ac:dyDescent="0.35">
      <c r="A190" s="2" t="s">
        <v>6</v>
      </c>
      <c r="B190" s="8" t="s">
        <v>35</v>
      </c>
      <c r="C190" s="8" t="s">
        <v>54</v>
      </c>
      <c r="D190" s="3">
        <v>2010</v>
      </c>
      <c r="E190" s="18">
        <v>2905100</v>
      </c>
      <c r="F190" s="13">
        <v>23.3</v>
      </c>
      <c r="G190" s="18">
        <v>44262000</v>
      </c>
      <c r="H190" s="21">
        <v>7616000</v>
      </c>
      <c r="I190" s="21">
        <v>41172000</v>
      </c>
      <c r="J190" s="21">
        <v>12483000</v>
      </c>
      <c r="K190" s="21">
        <v>491000</v>
      </c>
      <c r="L190" s="13">
        <v>0.83</v>
      </c>
      <c r="N190" s="4"/>
    </row>
    <row r="191" spans="1:14" x14ac:dyDescent="0.35">
      <c r="A191" s="2" t="s">
        <v>6</v>
      </c>
      <c r="B191" s="8" t="s">
        <v>35</v>
      </c>
      <c r="C191" s="8" t="s">
        <v>54</v>
      </c>
      <c r="D191" s="3">
        <v>2011</v>
      </c>
      <c r="E191" s="21">
        <v>2908100</v>
      </c>
      <c r="F191" s="13">
        <v>26.57</v>
      </c>
      <c r="G191" s="21">
        <v>46467000</v>
      </c>
      <c r="H191" s="21">
        <v>7814000</v>
      </c>
      <c r="I191" s="21">
        <v>47512000</v>
      </c>
      <c r="J191" s="21">
        <v>14662000</v>
      </c>
      <c r="K191" s="21">
        <v>540000</v>
      </c>
      <c r="L191" s="13">
        <v>0.9</v>
      </c>
      <c r="N191" s="4"/>
    </row>
    <row r="192" spans="1:14" x14ac:dyDescent="0.35">
      <c r="A192" s="2" t="str">
        <f>A191</f>
        <v>AEX</v>
      </c>
      <c r="B192" s="5" t="str">
        <f>B191</f>
        <v>Unilever cert.</v>
      </c>
      <c r="C192" s="5" t="s">
        <v>54</v>
      </c>
      <c r="D192" s="6">
        <f>D191+1</f>
        <v>2012</v>
      </c>
      <c r="E192" s="21"/>
      <c r="G192" s="21"/>
      <c r="H192" s="21"/>
      <c r="I192" s="21"/>
      <c r="J192" s="21"/>
      <c r="K192" s="21"/>
      <c r="L192" s="13"/>
      <c r="N192" s="4"/>
    </row>
    <row r="193" spans="1:14" x14ac:dyDescent="0.35">
      <c r="A193" s="2" t="str">
        <f>A192</f>
        <v>AEX</v>
      </c>
      <c r="B193" s="5" t="str">
        <f>B192</f>
        <v>Unilever cert.</v>
      </c>
      <c r="C193" s="5" t="s">
        <v>54</v>
      </c>
      <c r="D193" s="6">
        <f>D192+1</f>
        <v>2013</v>
      </c>
      <c r="E193" s="21"/>
      <c r="G193" s="21"/>
      <c r="H193" s="21"/>
      <c r="I193" s="21"/>
      <c r="J193" s="21"/>
      <c r="K193" s="21"/>
      <c r="L193" s="13"/>
      <c r="N193" s="4"/>
    </row>
    <row r="194" spans="1:14" x14ac:dyDescent="0.35">
      <c r="A194" s="2" t="s">
        <v>6</v>
      </c>
      <c r="B194" s="8" t="s">
        <v>18</v>
      </c>
      <c r="C194" s="8" t="s">
        <v>24</v>
      </c>
      <c r="D194" s="3">
        <v>2006</v>
      </c>
      <c r="E194" s="18">
        <v>321400</v>
      </c>
      <c r="F194" s="13">
        <v>21.79</v>
      </c>
      <c r="G194" s="18">
        <v>3377000</v>
      </c>
      <c r="H194" s="21">
        <v>635000</v>
      </c>
      <c r="I194" s="21">
        <v>5653000</v>
      </c>
      <c r="J194" s="21">
        <v>1623000</v>
      </c>
      <c r="K194" s="21"/>
      <c r="L194" s="13"/>
      <c r="N194" s="4"/>
    </row>
    <row r="195" spans="1:14" x14ac:dyDescent="0.35">
      <c r="A195" s="2" t="s">
        <v>6</v>
      </c>
      <c r="B195" s="8" t="s">
        <v>18</v>
      </c>
      <c r="C195" s="8" t="s">
        <v>24</v>
      </c>
      <c r="D195" s="3">
        <v>2007</v>
      </c>
      <c r="E195" s="18">
        <v>304700</v>
      </c>
      <c r="F195" s="13">
        <v>22.48</v>
      </c>
      <c r="G195" s="18">
        <v>3413000</v>
      </c>
      <c r="H195" s="21">
        <v>747000</v>
      </c>
      <c r="I195" s="21">
        <v>5276000</v>
      </c>
      <c r="J195" s="21">
        <v>1260000</v>
      </c>
      <c r="K195" s="21"/>
      <c r="L195" s="13">
        <v>0.64</v>
      </c>
      <c r="N195" s="4"/>
    </row>
    <row r="196" spans="1:14" x14ac:dyDescent="0.35">
      <c r="A196" s="2" t="s">
        <v>6</v>
      </c>
      <c r="B196" s="8" t="s">
        <v>18</v>
      </c>
      <c r="C196" s="8" t="s">
        <v>24</v>
      </c>
      <c r="D196" s="3">
        <v>2008</v>
      </c>
      <c r="E196" s="18">
        <v>288300</v>
      </c>
      <c r="F196" s="13">
        <v>13.54</v>
      </c>
      <c r="G196" s="18">
        <v>3374000</v>
      </c>
      <c r="H196" s="21">
        <v>756000</v>
      </c>
      <c r="I196" s="21">
        <v>6388000</v>
      </c>
      <c r="J196" s="21">
        <v>2327000</v>
      </c>
      <c r="K196" s="21"/>
      <c r="L196" s="13">
        <v>0.65</v>
      </c>
      <c r="N196" s="4"/>
    </row>
    <row r="197" spans="1:14" x14ac:dyDescent="0.35">
      <c r="A197" s="2" t="s">
        <v>6</v>
      </c>
      <c r="B197" s="8" t="s">
        <v>18</v>
      </c>
      <c r="C197" s="8" t="s">
        <v>24</v>
      </c>
      <c r="D197" s="3">
        <v>2009</v>
      </c>
      <c r="E197" s="18">
        <v>291999</v>
      </c>
      <c r="F197" s="13">
        <v>15.3</v>
      </c>
      <c r="G197" s="18">
        <v>3424000</v>
      </c>
      <c r="H197" s="21">
        <v>783000</v>
      </c>
      <c r="I197" s="21">
        <v>6053000</v>
      </c>
      <c r="J197" s="21">
        <v>2300000</v>
      </c>
      <c r="K197" s="21"/>
      <c r="L197" s="13">
        <v>0.66</v>
      </c>
      <c r="N197" s="4"/>
    </row>
    <row r="198" spans="1:14" x14ac:dyDescent="0.35">
      <c r="A198" s="2" t="s">
        <v>6</v>
      </c>
      <c r="B198" s="8" t="s">
        <v>18</v>
      </c>
      <c r="C198" s="8" t="s">
        <v>24</v>
      </c>
      <c r="D198" s="3">
        <v>2010</v>
      </c>
      <c r="E198" s="18">
        <v>298610</v>
      </c>
      <c r="F198" s="13">
        <v>16.73</v>
      </c>
      <c r="G198" s="18">
        <v>3556000</v>
      </c>
      <c r="H198" s="21">
        <v>831000</v>
      </c>
      <c r="I198" s="21">
        <v>6557000</v>
      </c>
      <c r="J198" s="21">
        <v>2546000</v>
      </c>
      <c r="K198" s="21">
        <v>137000</v>
      </c>
      <c r="L198" s="13">
        <v>0.67</v>
      </c>
      <c r="N198" s="4"/>
    </row>
    <row r="199" spans="1:14" x14ac:dyDescent="0.35">
      <c r="A199" s="2" t="s">
        <v>6</v>
      </c>
      <c r="B199" s="8" t="s">
        <v>18</v>
      </c>
      <c r="C199" s="8" t="s">
        <v>24</v>
      </c>
      <c r="D199" s="3">
        <v>2011</v>
      </c>
      <c r="E199" s="21">
        <v>296600</v>
      </c>
      <c r="F199" s="13">
        <v>13.36</v>
      </c>
      <c r="G199" s="21">
        <v>3354000</v>
      </c>
      <c r="H199" s="21">
        <v>705000</v>
      </c>
      <c r="I199" s="21">
        <f>5085000+1586000</f>
        <v>6671000</v>
      </c>
      <c r="J199" s="21">
        <v>2613000</v>
      </c>
      <c r="K199" s="21">
        <v>124000</v>
      </c>
      <c r="L199" s="13">
        <v>0.68</v>
      </c>
      <c r="N199" s="4"/>
    </row>
    <row r="200" spans="1:14" x14ac:dyDescent="0.35">
      <c r="A200" s="2" t="str">
        <f>A199</f>
        <v>AEX</v>
      </c>
      <c r="B200" s="5" t="str">
        <f>B199</f>
        <v>Wolters Kluwer</v>
      </c>
      <c r="C200" s="5" t="s">
        <v>24</v>
      </c>
      <c r="D200" s="6">
        <f>D199+1</f>
        <v>2012</v>
      </c>
      <c r="E200" s="21"/>
      <c r="G200" s="21"/>
      <c r="H200" s="20"/>
      <c r="I200" s="20"/>
      <c r="J200" s="20"/>
      <c r="K200" s="20"/>
      <c r="L200" s="13"/>
      <c r="N200" s="4"/>
    </row>
    <row r="201" spans="1:14" x14ac:dyDescent="0.35">
      <c r="A201" s="2" t="str">
        <f>A200</f>
        <v>AEX</v>
      </c>
      <c r="B201" s="5" t="str">
        <f>B200</f>
        <v>Wolters Kluwer</v>
      </c>
      <c r="C201" s="5" t="s">
        <v>24</v>
      </c>
      <c r="D201" s="6">
        <f>D200+1</f>
        <v>2013</v>
      </c>
      <c r="E201" s="21"/>
      <c r="G201" s="21"/>
      <c r="H201" s="20"/>
      <c r="I201" s="20"/>
      <c r="J201" s="20"/>
      <c r="K201" s="20"/>
      <c r="L201" s="13"/>
      <c r="N201" s="4"/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A c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G z D c u a o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X M z Y C u s l G H y Z m 4 5 u Z h 5 A H y Y F k k Q R t n E t z S k q L U u 3 y c n T 9 f G z 0 Y V w b f a g X 7 A A A A A D / / w M A U E s D B B Q A A g A I A A A A I Q A v F 7 W I G Q E A A P 0 B A A A T A A A A R m 9 y b X V s Y X M v U 2 V j d G l v b j E u b X R R S 2 u D Q B C + C / 6 H Y X t J Q C y B 0 k v w E D W B l N I e a u k h 5 L D q N N 2 6 z o b d t T U R / 3 t 9 U H r Q z m X h e 8 3 s j M H M C k X w M r 6 r t e u 4 j v n g G n N I e I p y B Q F I t K 4 D X Y W 6 k w a w r T O U f l R p j W T f l C 5 S p Y r F s j k 8 8 R I D N v r Y s T 1 E i m w n O X q j / Y Y l l z P C C b / F 5 1 W c c t Z l d W K J f q I 5 m X e l y 0 j J q q R e Z h Z 9 N 6 9 p W I i V N s w D 2 5 s t 1 r b 1 o G E 7 R f k U 7 f + h 9 A R + 4 L w H 9 2 T v 7 / w + f U A 3 n H K U S F P m V V p R K i g U / n W m q k x R D / R z e U U 7 g 2 / D f R J v Z o h E W S 6 B G 4 N 2 L u 8 x g R j T u c S d I E 4 Z A t Z n J I N m O m o s v k S O 3 S 7 g F o b D / a Z w u r T t 0 n U E / b P 9 9 Q 8 A A A D / / w M A U E s B A i 0 A F A A G A A g A A A A h A C r d q k D S A A A A N w E A A B M A A A A A A A A A A A A A A A A A A A A A A F t D b 2 5 0 Z W 5 0 X 1 R 5 c G V z X S 5 4 b W x Q S w E C L Q A U A A I A C A A A A C E A G z D c u a o A A A D 2 A A A A E g A A A A A A A A A A A A A A A A A L A w A A Q 2 9 u Z m l n L 1 B h Y 2 t h Z 2 U u e G 1 s U E s B A i 0 A F A A C A A g A A A A h A C 8 X t Y g Z A Q A A / Q E A A B M A A A A A A A A A A A A A A A A A 5 Q M A A E Z v c m 1 1 b G F z L 1 N l Y 3 R p b 2 4 x L m 1 Q S w U G A A A A A A M A A w D C A A A A L w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g O A A A A A A A A 5 g 0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l b D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I i L z 4 8 R W 5 0 c n k g V H l w Z T 0 i R m l s b E x h c 3 R V c G R h d G V k I i B W Y W x 1 Z T 0 i Z D I w M j E t M T A t M T F U M T U 6 M z k 6 M T Q u M z A 0 O D g y M 1 o i L z 4 8 R W 5 0 c n k g V H l w Z T 0 i R m l s b E N v b H V t b l R 5 c G V z I i B W Y W x 1 Z T 0 i c 0 J n W U d B d 0 1 G Q l F V R k J R T U E i L z 4 8 R W 5 0 c n k g V H l w Z T 0 i R m l s b E N v b H V t b k 5 h b W V z I i B W Y W x 1 Z T 0 i c 1 s m c X V v d D t C Z X V y c y Z x d W 9 0 O y w m c X V v d D t G b 2 5 k c y Z x d W 9 0 O y w m c X V v d D t T Z W N 0 b 3 I m c X V v d D s s J n F 1 b 3 Q 7 S m F h c i Z x d W 9 0 O y w m c X V v d D t B Y W 5 k Z W x l b i Z x d W 9 0 O y w m c X V v d D t V b H R p b W 8 g a 2 9 l c n M m c X V v d D s s J n F 1 b 3 Q 7 T 2 1 6 Z X Q m c X V v d D s s J n F 1 b 3 Q 7 R U J J V E R B J n F 1 b 3 Q 7 L C Z x d W 9 0 O 1 R v d G F s I G F z c 2 V 0 c y Z x d W 9 0 O y w m c X V v d D t M V C B E Z W J 0 J n F 1 b 3 Q 7 L C Z x d W 9 0 O 0 Z p b m F u Y 2 U g Z X h w Z W 5 z Z X M m c X V v d D s s J n F 1 b 3 Q 7 R G l 2 a W R l b m R z I C 8 g c 2 h h c m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w x L 0 F 1 d G 9 S Z W 1 v d m V k Q 2 9 s d W 1 u c z E u e 0 J l d X J z L D B 9 J n F 1 b 3 Q 7 L C Z x d W 9 0 O 1 N l Y 3 R p b 2 4 x L 1 R h Y m V s M S 9 B d X R v U m V t b 3 Z l Z E N v b H V t b n M x L n t G b 2 5 k c y w x f S Z x d W 9 0 O y w m c X V v d D t T Z W N 0 a W 9 u M S 9 U Y W J l b D E v Q X V 0 b 1 J l b W 9 2 Z W R D b 2 x 1 b W 5 z M S 5 7 U 2 V j d G 9 y L D J 9 J n F 1 b 3 Q 7 L C Z x d W 9 0 O 1 N l Y 3 R p b 2 4 x L 1 R h Y m V s M S 9 B d X R v U m V t b 3 Z l Z E N v b H V t b n M x L n t K Y W F y L D N 9 J n F 1 b 3 Q 7 L C Z x d W 9 0 O 1 N l Y 3 R p b 2 4 x L 1 R h Y m V s M S 9 B d X R v U m V t b 3 Z l Z E N v b H V t b n M x L n t B Y W 5 k Z W x l b i w 0 f S Z x d W 9 0 O y w m c X V v d D t T Z W N 0 a W 9 u M S 9 U Y W J l b D E v Q X V 0 b 1 J l b W 9 2 Z W R D b 2 x 1 b W 5 z M S 5 7 V W x 0 a W 1 v I G t v Z X J z L D V 9 J n F 1 b 3 Q 7 L C Z x d W 9 0 O 1 N l Y 3 R p b 2 4 x L 1 R h Y m V s M S 9 B d X R v U m V t b 3 Z l Z E N v b H V t b n M x L n t P b X p l d C w 2 f S Z x d W 9 0 O y w m c X V v d D t T Z W N 0 a W 9 u M S 9 U Y W J l b D E v Q X V 0 b 1 J l b W 9 2 Z W R D b 2 x 1 b W 5 z M S 5 7 R U J J V E R B L D d 9 J n F 1 b 3 Q 7 L C Z x d W 9 0 O 1 N l Y 3 R p b 2 4 x L 1 R h Y m V s M S 9 B d X R v U m V t b 3 Z l Z E N v b H V t b n M x L n t U b 3 R h b C B h c 3 N l d H M s O H 0 m c X V v d D s s J n F 1 b 3 Q 7 U 2 V j d G l v b j E v V G F i Z W w x L 0 F 1 d G 9 S Z W 1 v d m V k Q 2 9 s d W 1 u c z E u e 0 x U I E R l Y n Q s O X 0 m c X V v d D s s J n F 1 b 3 Q 7 U 2 V j d G l v b j E v V G F i Z W w x L 0 F 1 d G 9 S Z W 1 v d m V k Q 2 9 s d W 1 u c z E u e 0 Z p b m F u Y 2 U g Z X h w Z W 5 z Z X M s M T B 9 J n F 1 b 3 Q 7 L C Z x d W 9 0 O 1 N l Y 3 R p b 2 4 x L 1 R h Y m V s M S 9 B d X R v U m V t b 3 Z l Z E N v b H V t b n M x L n t E a X Z p Z G V u Z H M g L y B z a G F y Z S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Y m V s M S 9 B d X R v U m V t b 3 Z l Z E N v b H V t b n M x L n t C Z X V y c y w w f S Z x d W 9 0 O y w m c X V v d D t T Z W N 0 a W 9 u M S 9 U Y W J l b D E v Q X V 0 b 1 J l b W 9 2 Z W R D b 2 x 1 b W 5 z M S 5 7 R m 9 u Z H M s M X 0 m c X V v d D s s J n F 1 b 3 Q 7 U 2 V j d G l v b j E v V G F i Z W w x L 0 F 1 d G 9 S Z W 1 v d m V k Q 2 9 s d W 1 u c z E u e 1 N l Y 3 R v c i w y f S Z x d W 9 0 O y w m c X V v d D t T Z W N 0 a W 9 u M S 9 U Y W J l b D E v Q X V 0 b 1 J l b W 9 2 Z W R D b 2 x 1 b W 5 z M S 5 7 S m F h c i w z f S Z x d W 9 0 O y w m c X V v d D t T Z W N 0 a W 9 u M S 9 U Y W J l b D E v Q X V 0 b 1 J l b W 9 2 Z W R D b 2 x 1 b W 5 z M S 5 7 Q W F u Z G V s Z W 4 s N H 0 m c X V v d D s s J n F 1 b 3 Q 7 U 2 V j d G l v b j E v V G F i Z W w x L 0 F 1 d G 9 S Z W 1 v d m V k Q 2 9 s d W 1 u c z E u e 1 V s d G l t b y B r b 2 V y c y w 1 f S Z x d W 9 0 O y w m c X V v d D t T Z W N 0 a W 9 u M S 9 U Y W J l b D E v Q X V 0 b 1 J l b W 9 2 Z W R D b 2 x 1 b W 5 z M S 5 7 T 2 1 6 Z X Q s N n 0 m c X V v d D s s J n F 1 b 3 Q 7 U 2 V j d G l v b j E v V G F i Z W w x L 0 F 1 d G 9 S Z W 1 v d m V k Q 2 9 s d W 1 u c z E u e 0 V C S V R E Q S w 3 f S Z x d W 9 0 O y w m c X V v d D t T Z W N 0 a W 9 u M S 9 U Y W J l b D E v Q X V 0 b 1 J l b W 9 2 Z W R D b 2 x 1 b W 5 z M S 5 7 V G 9 0 Y W w g Y X N z Z X R z L D h 9 J n F 1 b 3 Q 7 L C Z x d W 9 0 O 1 N l Y 3 R p b 2 4 x L 1 R h Y m V s M S 9 B d X R v U m V t b 3 Z l Z E N v b H V t b n M x L n t M V C B E Z W J 0 L D l 9 J n F 1 b 3 Q 7 L C Z x d W 9 0 O 1 N l Y 3 R p b 2 4 x L 1 R h Y m V s M S 9 B d X R v U m V t b 3 Z l Z E N v b H V t b n M x L n t G a W 5 h b m N l I G V 4 c G V u c 2 V z L D E w f S Z x d W 9 0 O y w m c X V v d D t T Z W N 0 a W 9 u M S 9 U Y W J l b D E v Q X V 0 b 1 J l b W 9 2 Z W R D b 2 x 1 b W 5 z M S 5 7 R G l 2 a W R l b m R z I C 8 g c 2 h h c m U s M T F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V s M S 9 C c m 9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l b D E v V H l w Z S U y M G d l d 2 l q e m l n Z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O M I M 9 V z V s x L u m 0 a 4 4 K 3 8 C s A A A A A A g A A A A A A E G Y A A A A B A A A g A A A A F k 1 x B I d U C O l 6 I y / S 0 z l W q C 1 X I h + f p I h 3 H f m 0 + 8 m q 6 Y 4 A A A A A D o A A A A A C A A A g A A A A o c D 1 T H j h q P p G I G I O i s X A Y 3 M o H 4 E a t P B N K t p d m W S c z r l Q A A A A o T 9 0 q n c G + 8 E n A D E l a 2 v 8 t 1 h Y b 4 o E Y P X s h 3 d f 7 O v Z K D l k c i i o L W U j 7 L h / U J z b Z R X U l j m + l Y t / o 1 T O 0 O F a g S t e R j / W j t 3 6 A w W P f G / Q V 9 K W d 3 x A A A A A l 3 2 y 2 R u C 4 U p a b y g v M n K 3 N L g K / P V D w F G 0 e O 9 N w e 5 6 M v + Q e e q + T J S y D N Z f 5 N E F s N B I a F p D a E d C w 7 f 4 g w H 2 w U L y u A = = < / D a t a M a s h u p > 
</file>

<file path=customXml/itemProps1.xml><?xml version="1.0" encoding="utf-8"?>
<ds:datastoreItem xmlns:ds="http://schemas.openxmlformats.org/officeDocument/2006/customXml" ds:itemID="{44799431-3455-4A70-9930-85372C7D4CA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Oefening Tabel</vt:lpstr>
      <vt:lpstr>AEX</vt:lpstr>
    </vt:vector>
  </TitlesOfParts>
  <Company>Shell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Edwin.Pijpe</dc:creator>
  <cp:lastModifiedBy>Edwin Pijpe</cp:lastModifiedBy>
  <cp:lastPrinted>2012-10-17T19:22:55Z</cp:lastPrinted>
  <dcterms:created xsi:type="dcterms:W3CDTF">2011-11-24T06:53:19Z</dcterms:created>
  <dcterms:modified xsi:type="dcterms:W3CDTF">2021-10-18T09:13:15Z</dcterms:modified>
</cp:coreProperties>
</file>